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40" yWindow="120" windowWidth="2880" windowHeight="5580"/>
  </bookViews>
  <sheets>
    <sheet name="Current version" sheetId="1" r:id="rId1"/>
    <sheet name="Colony Type" sheetId="2" r:id="rId2"/>
    <sheet name="Mite Immigration" sheetId="3" r:id="rId3"/>
    <sheet name="r values " sheetId="11" r:id="rId4"/>
    <sheet name="About this model" sheetId="4" r:id="rId5"/>
    <sheet name="Necessary mite reduction" sheetId="5" r:id="rId6"/>
    <sheet name="Notes for this version" sheetId="6" r:id="rId7"/>
    <sheet name="Relative rates of increase" sheetId="7" r:id="rId8"/>
    <sheet name="Starting level" sheetId="8" r:id="rId9"/>
    <sheet name="Data to evaluate" sheetId="9" r:id="rId10"/>
    <sheet name="Brood break" sheetId="10" r:id="rId11"/>
  </sheets>
  <definedNames>
    <definedName name="abc" localSheetId="10">#REF!</definedName>
    <definedName name="abc" localSheetId="0">#REF!</definedName>
    <definedName name="abc" localSheetId="3">#REF!</definedName>
    <definedName name="abc">#REF!</definedName>
    <definedName name="abs" localSheetId="10">#REF!</definedName>
    <definedName name="abs" localSheetId="0">#REF!</definedName>
    <definedName name="abs" localSheetId="3">#REF!</definedName>
    <definedName name="abs">#REF!</definedName>
    <definedName name="mistake" localSheetId="3">#REF!</definedName>
    <definedName name="mistake">#REF!</definedName>
    <definedName name="x" localSheetId="10">#REF!</definedName>
    <definedName name="x" localSheetId="0">#REF!</definedName>
    <definedName name="x" localSheetId="3">#REF!</definedName>
    <definedName name="x">#REF!</definedName>
    <definedName name="xxx" localSheetId="10">#REF!</definedName>
    <definedName name="xxx" localSheetId="0">#REF!</definedName>
    <definedName name="xxx" localSheetId="3">#REF!</definedName>
    <definedName name="xxx">#REF!</definedName>
    <definedName name="xxx1" localSheetId="10">#REF!</definedName>
    <definedName name="xxx1" localSheetId="0">#REF!</definedName>
    <definedName name="xxx1" localSheetId="3">#REF!</definedName>
    <definedName name="xxx1">#REF!</definedName>
    <definedName name="z" localSheetId="10">#REF!</definedName>
    <definedName name="z" localSheetId="0">#REF!</definedName>
    <definedName name="z" localSheetId="3">#REF!</definedName>
    <definedName name="z">#REF!</definedName>
  </definedNames>
  <calcPr calcId="145621"/>
  <customWorkbookViews>
    <customWorkbookView name="Randy Oliver - Personal View" guid="{C5ECCA7E-81F6-46F5-BEA0-A5F2DAD22AC9}" mergeInterval="0" personalView="1" maximized="1" windowWidth="1676" windowHeight="720" activeSheetId="1"/>
    <customWorkbookView name="rod d - Personal View" guid="{40D14490-07BB-46F3-8435-9C462BE853EE}" mergeInterval="0" personalView="1" maximized="1" xWindow="1" yWindow="1" windowWidth="1916" windowHeight="802" activeSheetId="1"/>
  </customWorkbookViews>
</workbook>
</file>

<file path=xl/calcChain.xml><?xml version="1.0" encoding="utf-8"?>
<calcChain xmlns="http://schemas.openxmlformats.org/spreadsheetml/2006/main">
  <c r="AZ40" i="1" l="1"/>
  <c r="D21" i="1" l="1"/>
  <c r="D21" i="10"/>
  <c r="H30" i="11" l="1"/>
  <c r="DL28" i="1" l="1"/>
  <c r="AE3" i="10" l="1"/>
  <c r="DE10" i="10"/>
  <c r="FB22" i="10"/>
  <c r="CD106" i="10" l="1"/>
  <c r="CB106" i="10"/>
  <c r="CE106" i="10" s="1"/>
  <c r="CD105" i="10"/>
  <c r="CB105" i="10"/>
  <c r="CE105" i="10" s="1"/>
  <c r="CD104" i="10"/>
  <c r="CB104" i="10"/>
  <c r="CE104" i="10" s="1"/>
  <c r="CD103" i="10"/>
  <c r="CB103" i="10"/>
  <c r="CE103" i="10" s="1"/>
  <c r="CD102" i="10"/>
  <c r="CB102" i="10"/>
  <c r="CE102" i="10" s="1"/>
  <c r="CD101" i="10"/>
  <c r="CB101" i="10"/>
  <c r="CE101" i="10" s="1"/>
  <c r="CD100" i="10"/>
  <c r="CB100" i="10"/>
  <c r="CE100" i="10" s="1"/>
  <c r="CD99" i="10"/>
  <c r="CB99" i="10"/>
  <c r="CE99" i="10" s="1"/>
  <c r="CD98" i="10"/>
  <c r="CB98" i="10"/>
  <c r="CE98" i="10" s="1"/>
  <c r="CD97" i="10"/>
  <c r="CB97" i="10"/>
  <c r="CE97" i="10" s="1"/>
  <c r="CD96" i="10"/>
  <c r="CB96" i="10"/>
  <c r="CE96" i="10" s="1"/>
  <c r="CD95" i="10"/>
  <c r="CB95" i="10"/>
  <c r="CE95" i="10" s="1"/>
  <c r="CD94" i="10"/>
  <c r="CB94" i="10"/>
  <c r="CE94" i="10" s="1"/>
  <c r="BW94" i="10"/>
  <c r="CD93" i="10"/>
  <c r="CB93" i="10"/>
  <c r="CE93" i="10" s="1"/>
  <c r="BW93" i="10"/>
  <c r="CD92" i="10"/>
  <c r="CB92" i="10"/>
  <c r="CE92" i="10" s="1"/>
  <c r="BW92" i="10"/>
  <c r="CD91" i="10"/>
  <c r="CB91" i="10"/>
  <c r="CE91" i="10" s="1"/>
  <c r="BW91" i="10"/>
  <c r="CD90" i="10"/>
  <c r="CB90" i="10"/>
  <c r="CE90" i="10" s="1"/>
  <c r="CD89" i="10"/>
  <c r="CB89" i="10"/>
  <c r="CE89" i="10" s="1"/>
  <c r="CE88" i="10"/>
  <c r="CD88" i="10"/>
  <c r="CC87" i="10"/>
  <c r="BU78" i="10"/>
  <c r="BR79" i="10" s="1"/>
  <c r="BR76" i="10"/>
  <c r="BP77" i="10" s="1"/>
  <c r="BR71" i="10"/>
  <c r="BP72" i="10" s="1"/>
  <c r="BP73" i="10" s="1"/>
  <c r="BW68" i="10"/>
  <c r="BW67" i="10"/>
  <c r="BW66" i="10"/>
  <c r="BW65" i="10"/>
  <c r="BW64" i="10"/>
  <c r="BW63" i="10"/>
  <c r="BW62" i="10"/>
  <c r="AG62" i="10"/>
  <c r="AG63" i="10" s="1"/>
  <c r="AG64" i="10" s="1"/>
  <c r="BW61" i="10"/>
  <c r="AH61" i="10"/>
  <c r="BW60" i="10"/>
  <c r="BW59" i="10"/>
  <c r="BW58" i="10"/>
  <c r="BW57" i="10"/>
  <c r="BW56" i="10"/>
  <c r="BW55" i="10"/>
  <c r="BW54" i="10"/>
  <c r="BW53" i="10"/>
  <c r="BQ42" i="10"/>
  <c r="B42" i="10"/>
  <c r="BQ41" i="10"/>
  <c r="B41" i="10"/>
  <c r="BA40" i="10"/>
  <c r="BP39" i="10"/>
  <c r="BQ39" i="10" s="1"/>
  <c r="AI39" i="10"/>
  <c r="AH39" i="10"/>
  <c r="AG39" i="10"/>
  <c r="B39" i="10"/>
  <c r="B37" i="10"/>
  <c r="B36" i="10"/>
  <c r="BP35" i="10"/>
  <c r="BQ35" i="10" s="1"/>
  <c r="B35" i="10"/>
  <c r="BP34" i="10"/>
  <c r="BQ34" i="10" s="1"/>
  <c r="BW38" i="10" s="1"/>
  <c r="B34" i="10"/>
  <c r="BP33" i="10"/>
  <c r="BQ33" i="10" s="1"/>
  <c r="BW37" i="10" s="1"/>
  <c r="BA33" i="10"/>
  <c r="B33" i="10"/>
  <c r="FH32" i="10"/>
  <c r="FG32" i="10"/>
  <c r="DQ26" i="10" s="1"/>
  <c r="FF32" i="10"/>
  <c r="DQ25" i="10" s="1"/>
  <c r="FE32" i="10"/>
  <c r="DQ24" i="10" s="1"/>
  <c r="FD32" i="10"/>
  <c r="FC32" i="10"/>
  <c r="DQ22" i="10" s="1"/>
  <c r="FB32" i="10"/>
  <c r="DQ21" i="10" s="1"/>
  <c r="FA32" i="10"/>
  <c r="DQ20" i="10" s="1"/>
  <c r="EZ32" i="10"/>
  <c r="DQ19" i="10" s="1"/>
  <c r="EY32" i="10"/>
  <c r="DQ18" i="10" s="1"/>
  <c r="EX32" i="10"/>
  <c r="DQ17" i="10" s="1"/>
  <c r="EW32" i="10"/>
  <c r="DQ16" i="10" s="1"/>
  <c r="EV32" i="10"/>
  <c r="DQ15" i="10" s="1"/>
  <c r="EU32" i="10"/>
  <c r="DQ14" i="10" s="1"/>
  <c r="ET32" i="10"/>
  <c r="DQ13" i="10" s="1"/>
  <c r="ES32" i="10"/>
  <c r="ER32" i="10"/>
  <c r="DQ11" i="10" s="1"/>
  <c r="EQ32" i="10"/>
  <c r="DQ10" i="10" s="1"/>
  <c r="EP32" i="10"/>
  <c r="DQ9" i="10" s="1"/>
  <c r="EO32" i="10"/>
  <c r="DQ8" i="10" s="1"/>
  <c r="EN32" i="10"/>
  <c r="DQ7" i="10" s="1"/>
  <c r="EM32" i="10"/>
  <c r="DQ6" i="10" s="1"/>
  <c r="EL32" i="10"/>
  <c r="EK32" i="10"/>
  <c r="DQ4" i="10" s="1"/>
  <c r="BW32" i="10"/>
  <c r="BW33" i="10" s="1"/>
  <c r="BP32" i="10"/>
  <c r="BQ32" i="10" s="1"/>
  <c r="BQ63" i="10" s="1"/>
  <c r="BA32" i="10"/>
  <c r="BP31" i="10"/>
  <c r="BQ31" i="10" s="1"/>
  <c r="CO25" i="10" s="1"/>
  <c r="CP25" i="10" s="1"/>
  <c r="BA31" i="10"/>
  <c r="BQ28" i="10" s="1"/>
  <c r="BR28" i="10" s="1"/>
  <c r="B31" i="10"/>
  <c r="BP30" i="10"/>
  <c r="BQ30" i="10" s="1"/>
  <c r="BQ54" i="10" s="1"/>
  <c r="CM29" i="10"/>
  <c r="BZ29" i="10"/>
  <c r="BP29" i="10"/>
  <c r="BQ29" i="10" s="1"/>
  <c r="CZ23" i="10" s="1"/>
  <c r="DM28" i="10"/>
  <c r="BA28" i="10"/>
  <c r="DQ27" i="10"/>
  <c r="BA27" i="10"/>
  <c r="DU27" i="10" s="1"/>
  <c r="BA26" i="10"/>
  <c r="BA25" i="10"/>
  <c r="BA24" i="10"/>
  <c r="DU24" i="10" s="1"/>
  <c r="DQ23" i="10"/>
  <c r="BA23" i="10"/>
  <c r="BA22" i="10"/>
  <c r="BA21" i="10"/>
  <c r="AE21" i="10" s="1"/>
  <c r="BA20" i="10"/>
  <c r="AE20" i="10" s="1"/>
  <c r="BA19" i="10"/>
  <c r="BA18" i="10"/>
  <c r="AE18" i="10" s="1"/>
  <c r="BQ17" i="10"/>
  <c r="BR17" i="10" s="1"/>
  <c r="BA17" i="10"/>
  <c r="AE17" i="10" s="1"/>
  <c r="BA16" i="10"/>
  <c r="BA15" i="10"/>
  <c r="AE15" i="10" s="1"/>
  <c r="BS14" i="10"/>
  <c r="BT14" i="10" s="1"/>
  <c r="BA14" i="10"/>
  <c r="BA13" i="10"/>
  <c r="AE13" i="10" s="1"/>
  <c r="DQ12" i="10"/>
  <c r="BA12" i="10"/>
  <c r="DU12" i="10" s="1"/>
  <c r="BA11" i="10"/>
  <c r="AE11" i="10" s="1"/>
  <c r="BA10" i="10"/>
  <c r="BA9" i="10"/>
  <c r="AE9" i="10" s="1"/>
  <c r="BA8" i="10"/>
  <c r="AE8" i="10" s="1"/>
  <c r="BA7" i="10"/>
  <c r="AE7" i="10" s="1"/>
  <c r="BA6" i="10"/>
  <c r="AE6" i="10" s="1"/>
  <c r="DQ5" i="10"/>
  <c r="BA5" i="10"/>
  <c r="BP5" i="10" s="1"/>
  <c r="BA4" i="10"/>
  <c r="AE4" i="10" s="1"/>
  <c r="BE3" i="10"/>
  <c r="CE10" i="10" l="1"/>
  <c r="CF10" i="10" s="1"/>
  <c r="BQ8" i="10"/>
  <c r="BR8" i="10" s="1"/>
  <c r="BQ13" i="10"/>
  <c r="BR13" i="10" s="1"/>
  <c r="CE6" i="10"/>
  <c r="CF6" i="10" s="1"/>
  <c r="CJ6" i="10" s="1"/>
  <c r="CK6" i="10" s="1"/>
  <c r="CL6" i="10" s="1"/>
  <c r="BS21" i="10"/>
  <c r="BT21" i="10" s="1"/>
  <c r="BQ24" i="10"/>
  <c r="BR24" i="10" s="1"/>
  <c r="CE25" i="10"/>
  <c r="CF25" i="10" s="1"/>
  <c r="CG25" i="10" s="1"/>
  <c r="BQ5" i="10"/>
  <c r="BR5" i="10" s="1"/>
  <c r="CE16" i="10"/>
  <c r="CF16" i="10" s="1"/>
  <c r="CE9" i="10"/>
  <c r="CF9" i="10" s="1"/>
  <c r="BQ11" i="10"/>
  <c r="BR11" i="10" s="1"/>
  <c r="BQ15" i="10"/>
  <c r="BR15" i="10" s="1"/>
  <c r="CO16" i="10"/>
  <c r="CP16" i="10" s="1"/>
  <c r="CE18" i="10"/>
  <c r="CF18" i="10" s="1"/>
  <c r="BQ20" i="10"/>
  <c r="BR20" i="10" s="1"/>
  <c r="BQ26" i="10"/>
  <c r="BR26" i="10" s="1"/>
  <c r="CE19" i="10"/>
  <c r="CF19" i="10" s="1"/>
  <c r="BQ12" i="10"/>
  <c r="BR12" i="10" s="1"/>
  <c r="BS13" i="10"/>
  <c r="BT13" i="10" s="1"/>
  <c r="BV13" i="10" s="1"/>
  <c r="CE21" i="10"/>
  <c r="CF21" i="10" s="1"/>
  <c r="CG21" i="10" s="1"/>
  <c r="CW21" i="10" s="1"/>
  <c r="CE23" i="10"/>
  <c r="CF23" i="10" s="1"/>
  <c r="BS24" i="10"/>
  <c r="CA24" i="10" s="1"/>
  <c r="BQ4" i="10"/>
  <c r="BR4" i="10" s="1"/>
  <c r="CE7" i="10"/>
  <c r="CF7" i="10" s="1"/>
  <c r="CJ7" i="10" s="1"/>
  <c r="CK7" i="10" s="1"/>
  <c r="CL7" i="10" s="1"/>
  <c r="DF4" i="10"/>
  <c r="EK33" i="10" s="1"/>
  <c r="BS11" i="10"/>
  <c r="BT11" i="10" s="1"/>
  <c r="BQ14" i="10"/>
  <c r="BR14" i="10" s="1"/>
  <c r="BS15" i="10"/>
  <c r="BT15" i="10" s="1"/>
  <c r="CD15" i="10" s="1"/>
  <c r="BQ22" i="10"/>
  <c r="BR22" i="10" s="1"/>
  <c r="BS25" i="10"/>
  <c r="CA25" i="10" s="1"/>
  <c r="CB25" i="10" s="1"/>
  <c r="CO7" i="10"/>
  <c r="CP7" i="10" s="1"/>
  <c r="CO10" i="10"/>
  <c r="CP10" i="10" s="1"/>
  <c r="BB4" i="10"/>
  <c r="BQ27" i="10"/>
  <c r="BR27" i="10" s="1"/>
  <c r="ED28" i="10" s="1"/>
  <c r="BS27" i="10"/>
  <c r="CA27" i="10" s="1"/>
  <c r="CB27" i="10" s="1"/>
  <c r="CO26" i="10"/>
  <c r="CP26" i="10" s="1"/>
  <c r="EJ45" i="10"/>
  <c r="AE16" i="10"/>
  <c r="EJ55" i="10"/>
  <c r="AE26" i="10"/>
  <c r="EJ39" i="10"/>
  <c r="AE10" i="10"/>
  <c r="BP16" i="10"/>
  <c r="EJ48" i="10"/>
  <c r="AE19" i="10"/>
  <c r="EJ52" i="10"/>
  <c r="AE23" i="10"/>
  <c r="BS4" i="10"/>
  <c r="BS5" i="10"/>
  <c r="BT5" i="10" s="1"/>
  <c r="BX5" i="10" s="1"/>
  <c r="BQ6" i="10"/>
  <c r="BR6" i="10" s="1"/>
  <c r="ED6" i="10" s="1"/>
  <c r="BQ7" i="10"/>
  <c r="BR7" i="10" s="1"/>
  <c r="BS8" i="10"/>
  <c r="BT8" i="10" s="1"/>
  <c r="BV8" i="10" s="1"/>
  <c r="BQ9" i="10"/>
  <c r="BR9" i="10" s="1"/>
  <c r="BQ10" i="10"/>
  <c r="BR10" i="10" s="1"/>
  <c r="CE11" i="10"/>
  <c r="CF11" i="10" s="1"/>
  <c r="BS12" i="10"/>
  <c r="BT12" i="10" s="1"/>
  <c r="BV12" i="10" s="1"/>
  <c r="CE13" i="10"/>
  <c r="CF13" i="10" s="1"/>
  <c r="CG13" i="10" s="1"/>
  <c r="CE14" i="10"/>
  <c r="CF14" i="10" s="1"/>
  <c r="CG14" i="10" s="1"/>
  <c r="CE15" i="10"/>
  <c r="CF15" i="10" s="1"/>
  <c r="CG15" i="10" s="1"/>
  <c r="CW15" i="10" s="1"/>
  <c r="BQ16" i="10"/>
  <c r="BR16" i="10" s="1"/>
  <c r="BS17" i="10"/>
  <c r="BT17" i="10" s="1"/>
  <c r="EC18" i="10" s="1"/>
  <c r="BQ18" i="10"/>
  <c r="BR18" i="10" s="1"/>
  <c r="BQ19" i="10"/>
  <c r="BR19" i="10" s="1"/>
  <c r="BS20" i="10"/>
  <c r="BT20" i="10" s="1"/>
  <c r="EC21" i="10" s="1"/>
  <c r="BS22" i="10"/>
  <c r="BT22" i="10" s="1"/>
  <c r="BV22" i="10" s="1"/>
  <c r="BQ23" i="10"/>
  <c r="BR23" i="10" s="1"/>
  <c r="ED24" i="10" s="1"/>
  <c r="DU23" i="10"/>
  <c r="CE24" i="10"/>
  <c r="CF24" i="10" s="1"/>
  <c r="CJ24" i="10" s="1"/>
  <c r="CK24" i="10" s="1"/>
  <c r="EJ54" i="10"/>
  <c r="AE25" i="10"/>
  <c r="BS26" i="10"/>
  <c r="CA26" i="10" s="1"/>
  <c r="CB26" i="10" s="1"/>
  <c r="DU26" i="10"/>
  <c r="BT27" i="10"/>
  <c r="BX27" i="10" s="1"/>
  <c r="DU28" i="10"/>
  <c r="AE28" i="10"/>
  <c r="AH62" i="10"/>
  <c r="CE4" i="10"/>
  <c r="CF4" i="10" s="1"/>
  <c r="CJ4" i="10" s="1"/>
  <c r="EJ34" i="10"/>
  <c r="AE5" i="10"/>
  <c r="CE5" i="10"/>
  <c r="CF5" i="10" s="1"/>
  <c r="CJ5" i="10" s="1"/>
  <c r="CK5" i="10" s="1"/>
  <c r="BS6" i="10"/>
  <c r="BT6" i="10" s="1"/>
  <c r="CD6" i="10" s="1"/>
  <c r="BS7" i="10"/>
  <c r="BT7" i="10" s="1"/>
  <c r="BV7" i="10" s="1"/>
  <c r="CE8" i="10"/>
  <c r="CF8" i="10" s="1"/>
  <c r="BS9" i="10"/>
  <c r="BT9" i="10" s="1"/>
  <c r="BV9" i="10" s="1"/>
  <c r="BS10" i="10"/>
  <c r="BT10" i="10" s="1"/>
  <c r="CD10" i="10" s="1"/>
  <c r="CR10" i="10" s="1"/>
  <c r="EJ41" i="10"/>
  <c r="AE12" i="10"/>
  <c r="CE12" i="10"/>
  <c r="CF12" i="10" s="1"/>
  <c r="CG12" i="10" s="1"/>
  <c r="EJ43" i="10"/>
  <c r="AE14" i="10"/>
  <c r="BS16" i="10"/>
  <c r="BT16" i="10" s="1"/>
  <c r="BX16" i="10" s="1"/>
  <c r="CE17" i="10"/>
  <c r="CF17" i="10" s="1"/>
  <c r="CG17" i="10" s="1"/>
  <c r="BS18" i="10"/>
  <c r="BT18" i="10" s="1"/>
  <c r="BX18" i="10" s="1"/>
  <c r="BS19" i="10"/>
  <c r="BT19" i="10" s="1"/>
  <c r="EZ30" i="10" s="1"/>
  <c r="DU19" i="10"/>
  <c r="CE20" i="10"/>
  <c r="CF20" i="10" s="1"/>
  <c r="CG20" i="10" s="1"/>
  <c r="CW20" i="10" s="1"/>
  <c r="BQ21" i="10"/>
  <c r="BR21" i="10" s="1"/>
  <c r="ED22" i="10" s="1"/>
  <c r="EJ51" i="10"/>
  <c r="AE22" i="10"/>
  <c r="CE22" i="10"/>
  <c r="CF22" i="10" s="1"/>
  <c r="CJ22" i="10" s="1"/>
  <c r="CK22" i="10" s="1"/>
  <c r="BS23" i="10"/>
  <c r="BT23" i="10" s="1"/>
  <c r="FD30" i="10" s="1"/>
  <c r="EJ53" i="10"/>
  <c r="AE24" i="10"/>
  <c r="BQ25" i="10"/>
  <c r="BR25" i="10" s="1"/>
  <c r="DU25" i="10"/>
  <c r="CE26" i="10"/>
  <c r="CF26" i="10" s="1"/>
  <c r="CJ26" i="10" s="1"/>
  <c r="CK26" i="10" s="1"/>
  <c r="EJ56" i="10"/>
  <c r="AE27" i="10"/>
  <c r="CE27" i="10"/>
  <c r="CF27" i="10" s="1"/>
  <c r="CJ27" i="10" s="1"/>
  <c r="CK27" i="10" s="1"/>
  <c r="BP79" i="10"/>
  <c r="CO5" i="10"/>
  <c r="CP5" i="10" s="1"/>
  <c r="CO6" i="10"/>
  <c r="CP6" i="10" s="1"/>
  <c r="CO4" i="10"/>
  <c r="CP4" i="10" s="1"/>
  <c r="CO9" i="10"/>
  <c r="CP9" i="10" s="1"/>
  <c r="CO18" i="10"/>
  <c r="CP18" i="10" s="1"/>
  <c r="CO19" i="10"/>
  <c r="CP19" i="10" s="1"/>
  <c r="CO20" i="10"/>
  <c r="CP20" i="10" s="1"/>
  <c r="CO21" i="10"/>
  <c r="CP21" i="10" s="1"/>
  <c r="CO23" i="10"/>
  <c r="CP23" i="10" s="1"/>
  <c r="CO28" i="10"/>
  <c r="CP28" i="10" s="1"/>
  <c r="CO14" i="10"/>
  <c r="CP14" i="10" s="1"/>
  <c r="CO8" i="10"/>
  <c r="CP8" i="10" s="1"/>
  <c r="CO11" i="10"/>
  <c r="CP11" i="10" s="1"/>
  <c r="CO12" i="10"/>
  <c r="CP12" i="10" s="1"/>
  <c r="CO13" i="10"/>
  <c r="CP13" i="10" s="1"/>
  <c r="CO15" i="10"/>
  <c r="CP15" i="10" s="1"/>
  <c r="CO17" i="10"/>
  <c r="CP17" i="10" s="1"/>
  <c r="CO22" i="10"/>
  <c r="CP22" i="10" s="1"/>
  <c r="CO24" i="10"/>
  <c r="CP24" i="10" s="1"/>
  <c r="BP14" i="10"/>
  <c r="EJ4" i="10"/>
  <c r="DU10" i="10"/>
  <c r="BP12" i="10"/>
  <c r="DU16" i="10"/>
  <c r="BP22" i="10"/>
  <c r="BP10" i="10"/>
  <c r="DU14" i="10"/>
  <c r="BP19" i="10"/>
  <c r="BP23" i="10"/>
  <c r="BP24" i="10"/>
  <c r="BP25" i="10"/>
  <c r="BT25" i="10"/>
  <c r="FF30" i="10" s="1"/>
  <c r="BP26" i="10"/>
  <c r="BP27" i="10"/>
  <c r="BP28" i="10"/>
  <c r="DU22" i="10"/>
  <c r="CD16" i="10"/>
  <c r="CR16" i="10" s="1"/>
  <c r="CZ16" i="10"/>
  <c r="CZ4" i="10"/>
  <c r="CZ6" i="10"/>
  <c r="CZ20" i="10"/>
  <c r="CZ25" i="10"/>
  <c r="CZ12" i="10"/>
  <c r="CG4" i="10"/>
  <c r="CW4" i="10" s="1"/>
  <c r="BU21" i="10"/>
  <c r="DC21" i="10" s="1"/>
  <c r="CZ13" i="10"/>
  <c r="CZ14" i="10"/>
  <c r="CZ15" i="10"/>
  <c r="CZ17" i="10"/>
  <c r="CZ22" i="10"/>
  <c r="CZ26" i="10"/>
  <c r="CZ27" i="10"/>
  <c r="CZ7" i="10"/>
  <c r="CZ9" i="10"/>
  <c r="CG11" i="10"/>
  <c r="CW11" i="10" s="1"/>
  <c r="BV16" i="10"/>
  <c r="CZ21" i="10"/>
  <c r="CZ24" i="10"/>
  <c r="CZ5" i="10"/>
  <c r="CZ8" i="10"/>
  <c r="CZ18" i="10"/>
  <c r="CZ19" i="10"/>
  <c r="DG4" i="10"/>
  <c r="DH4" i="10" s="1"/>
  <c r="CZ10" i="10"/>
  <c r="CZ11" i="10"/>
  <c r="EJ33" i="10"/>
  <c r="DU4" i="10"/>
  <c r="BP4" i="10"/>
  <c r="EJ35" i="10"/>
  <c r="DU6" i="10"/>
  <c r="BP6" i="10"/>
  <c r="CG8" i="10"/>
  <c r="EJ36" i="10"/>
  <c r="DU7" i="10"/>
  <c r="BP7" i="10"/>
  <c r="CJ8" i="10"/>
  <c r="CK8" i="10" s="1"/>
  <c r="CG9" i="10"/>
  <c r="EJ40" i="10"/>
  <c r="BP11" i="10"/>
  <c r="DU11" i="10"/>
  <c r="EM30" i="10"/>
  <c r="EJ37" i="10"/>
  <c r="DU8" i="10"/>
  <c r="BP8" i="10"/>
  <c r="EQ30" i="10"/>
  <c r="EC11" i="10"/>
  <c r="CG10" i="10"/>
  <c r="BU11" i="10"/>
  <c r="EJ38" i="10"/>
  <c r="DU9" i="10"/>
  <c r="BP9" i="10"/>
  <c r="ED8" i="10"/>
  <c r="ED9" i="10"/>
  <c r="EU30" i="10"/>
  <c r="CD14" i="10"/>
  <c r="BV14" i="10"/>
  <c r="BX14" i="10"/>
  <c r="EC15" i="10"/>
  <c r="ER30" i="10"/>
  <c r="BX11" i="10"/>
  <c r="EC12" i="10"/>
  <c r="CD11" i="10"/>
  <c r="CR11" i="10" s="1"/>
  <c r="BV11" i="10"/>
  <c r="DU5" i="10"/>
  <c r="CG16" i="10"/>
  <c r="EC14" i="10"/>
  <c r="CD13" i="10"/>
  <c r="BU14" i="10"/>
  <c r="ED14" i="10"/>
  <c r="EJ44" i="10"/>
  <c r="BP15" i="10"/>
  <c r="DU15" i="10"/>
  <c r="ED18" i="10"/>
  <c r="EE18" i="10" s="1"/>
  <c r="EJ49" i="10"/>
  <c r="DU20" i="10"/>
  <c r="BP20" i="10"/>
  <c r="AH64" i="10"/>
  <c r="AG65" i="10"/>
  <c r="EJ46" i="10"/>
  <c r="BP17" i="10"/>
  <c r="EJ47" i="10"/>
  <c r="DU18" i="10"/>
  <c r="BP18" i="10"/>
  <c r="EJ50" i="10"/>
  <c r="BP21" i="10"/>
  <c r="DU21" i="10"/>
  <c r="CJ25" i="10"/>
  <c r="CK25" i="10" s="1"/>
  <c r="EX30" i="10"/>
  <c r="BX17" i="10"/>
  <c r="CD18" i="10"/>
  <c r="CR18" i="10" s="1"/>
  <c r="CG19" i="10"/>
  <c r="CG23" i="10"/>
  <c r="EK58" i="10"/>
  <c r="EK59" i="10" s="1"/>
  <c r="EL5" i="10" s="1"/>
  <c r="EL33" i="10"/>
  <c r="EJ42" i="10"/>
  <c r="DU13" i="10"/>
  <c r="BP13" i="10"/>
  <c r="ED13" i="10"/>
  <c r="EC17" i="10"/>
  <c r="DU17" i="10"/>
  <c r="CG18" i="10"/>
  <c r="CJ23" i="10"/>
  <c r="CK23" i="10" s="1"/>
  <c r="ED23" i="10"/>
  <c r="FB30" i="10"/>
  <c r="BX21" i="10"/>
  <c r="EC22" i="10"/>
  <c r="CD21" i="10"/>
  <c r="BV21" i="10"/>
  <c r="EC28" i="10"/>
  <c r="BQ53" i="10"/>
  <c r="BQ56" i="10" s="1"/>
  <c r="BQ57" i="10" s="1"/>
  <c r="BZ32" i="10"/>
  <c r="BZ33" i="10" s="1"/>
  <c r="CZ28" i="10"/>
  <c r="BZ30" i="10"/>
  <c r="BZ31" i="10" s="1"/>
  <c r="BQ62" i="10"/>
  <c r="BQ65" i="10" s="1"/>
  <c r="BQ66" i="10" s="1"/>
  <c r="BQ67" i="10" s="1"/>
  <c r="CO27" i="10"/>
  <c r="CP27" i="10" s="1"/>
  <c r="AH63" i="10"/>
  <c r="D36" i="3"/>
  <c r="CK4" i="10"/>
  <c r="BV15" i="10" l="1"/>
  <c r="BT24" i="10"/>
  <c r="BU24" i="10" s="1"/>
  <c r="EL30" i="10"/>
  <c r="BV5" i="10"/>
  <c r="CD23" i="10"/>
  <c r="CR23" i="10" s="1"/>
  <c r="ED27" i="10"/>
  <c r="BU5" i="10"/>
  <c r="BY5" i="10" s="1"/>
  <c r="ED19" i="10"/>
  <c r="ED10" i="10"/>
  <c r="ED20" i="10"/>
  <c r="ED12" i="10"/>
  <c r="BU13" i="10"/>
  <c r="DC13" i="10" s="1"/>
  <c r="EC16" i="10"/>
  <c r="CG6" i="10"/>
  <c r="ED21" i="10"/>
  <c r="EE21" i="10" s="1"/>
  <c r="BU17" i="10"/>
  <c r="BY17" i="10" s="1"/>
  <c r="BV17" i="10"/>
  <c r="EV30" i="10"/>
  <c r="BX13" i="10"/>
  <c r="ET30" i="10"/>
  <c r="BX10" i="10"/>
  <c r="CD5" i="10"/>
  <c r="EC6" i="10"/>
  <c r="EE6" i="10" s="1"/>
  <c r="BU16" i="10"/>
  <c r="DC16" i="10" s="1"/>
  <c r="BU15" i="10"/>
  <c r="BY15" i="10" s="1"/>
  <c r="CR6" i="10"/>
  <c r="CD17" i="10"/>
  <c r="BV10" i="10"/>
  <c r="ED5" i="10"/>
  <c r="CD22" i="10"/>
  <c r="CR22" i="10" s="1"/>
  <c r="BX15" i="10"/>
  <c r="ED15" i="10"/>
  <c r="CG7" i="10"/>
  <c r="CW7" i="10" s="1"/>
  <c r="ED26" i="10"/>
  <c r="CR21" i="10"/>
  <c r="ED7" i="10"/>
  <c r="EW30" i="10"/>
  <c r="CD9" i="10"/>
  <c r="CR9" i="10" s="1"/>
  <c r="BX9" i="10"/>
  <c r="ED16" i="10"/>
  <c r="DC15" i="10"/>
  <c r="EP30" i="10"/>
  <c r="FH30" i="10"/>
  <c r="BU27" i="10"/>
  <c r="DC27" i="10" s="1"/>
  <c r="BV27" i="10"/>
  <c r="CD27" i="10"/>
  <c r="CR27" i="10" s="1"/>
  <c r="CL24" i="10"/>
  <c r="CL23" i="10"/>
  <c r="CL5" i="10"/>
  <c r="CL25" i="10"/>
  <c r="CL27" i="10"/>
  <c r="CL26" i="10"/>
  <c r="CL4" i="10"/>
  <c r="CL8" i="10"/>
  <c r="CL22" i="10"/>
  <c r="BV6" i="10"/>
  <c r="CD8" i="10"/>
  <c r="CR8" i="10" s="1"/>
  <c r="EC13" i="10"/>
  <c r="EE13" i="10" s="1"/>
  <c r="FC30" i="10"/>
  <c r="BU8" i="10"/>
  <c r="DC8" i="10" s="1"/>
  <c r="BX6" i="10"/>
  <c r="CR17" i="10"/>
  <c r="BX8" i="10"/>
  <c r="BV23" i="10"/>
  <c r="BU22" i="10"/>
  <c r="BY22" i="10" s="1"/>
  <c r="EC23" i="10"/>
  <c r="BU6" i="10"/>
  <c r="BY6" i="10" s="1"/>
  <c r="CD7" i="10"/>
  <c r="CR7" i="10" s="1"/>
  <c r="BT26" i="10"/>
  <c r="BX22" i="10"/>
  <c r="EY30" i="10"/>
  <c r="CD19" i="10"/>
  <c r="CR19" i="10" s="1"/>
  <c r="EC7" i="10"/>
  <c r="EE7" i="10" s="1"/>
  <c r="BX7" i="10"/>
  <c r="EC24" i="10"/>
  <c r="EE24" i="10" s="1"/>
  <c r="EF24" i="10" s="1"/>
  <c r="BU18" i="10"/>
  <c r="BY18" i="10" s="1"/>
  <c r="BU19" i="10"/>
  <c r="BY19" i="10" s="1"/>
  <c r="EC19" i="10"/>
  <c r="EC20" i="10"/>
  <c r="EE20" i="10" s="1"/>
  <c r="CR13" i="10"/>
  <c r="EC8" i="10"/>
  <c r="EE8" i="10" s="1"/>
  <c r="ED17" i="10"/>
  <c r="EE17" i="10" s="1"/>
  <c r="EF17" i="10" s="1"/>
  <c r="BV18" i="10"/>
  <c r="BY21" i="10"/>
  <c r="CM21" i="10" s="1"/>
  <c r="CR5" i="10"/>
  <c r="CR15" i="10"/>
  <c r="FA30" i="10"/>
  <c r="BU23" i="10"/>
  <c r="DC23" i="10" s="1"/>
  <c r="BU10" i="10"/>
  <c r="DC10" i="10" s="1"/>
  <c r="CG26" i="10"/>
  <c r="CH26" i="10" s="1"/>
  <c r="CG22" i="10"/>
  <c r="CW22" i="10" s="1"/>
  <c r="CD20" i="10"/>
  <c r="CR20" i="10" s="1"/>
  <c r="CD12" i="10"/>
  <c r="CR12" i="10" s="1"/>
  <c r="BX23" i="10"/>
  <c r="ED25" i="10"/>
  <c r="CG24" i="10"/>
  <c r="CW24" i="10" s="1"/>
  <c r="BV19" i="10"/>
  <c r="BX20" i="10"/>
  <c r="CG5" i="10"/>
  <c r="CW5" i="10" s="1"/>
  <c r="CR14" i="10"/>
  <c r="BU12" i="10"/>
  <c r="BY12" i="10" s="1"/>
  <c r="BU9" i="10"/>
  <c r="DC9" i="10" s="1"/>
  <c r="EC10" i="10"/>
  <c r="EE10" i="10" s="1"/>
  <c r="EF10" i="10" s="1"/>
  <c r="ED11" i="10"/>
  <c r="EE11" i="10" s="1"/>
  <c r="EC9" i="10"/>
  <c r="EE9" i="10" s="1"/>
  <c r="EO30" i="10"/>
  <c r="BU7" i="10"/>
  <c r="DC7" i="10" s="1"/>
  <c r="EN30" i="10"/>
  <c r="CG27" i="10"/>
  <c r="CW27" i="10" s="1"/>
  <c r="BU20" i="10"/>
  <c r="DC20" i="10" s="1"/>
  <c r="BV20" i="10"/>
  <c r="ES30" i="10"/>
  <c r="BX12" i="10"/>
  <c r="BX19" i="10"/>
  <c r="BT4" i="10"/>
  <c r="EK30" i="10" s="1"/>
  <c r="BX25" i="10"/>
  <c r="CD25" i="10"/>
  <c r="CR25" i="10" s="1"/>
  <c r="BU25" i="10"/>
  <c r="BV25" i="10"/>
  <c r="EC26" i="10"/>
  <c r="EE26" i="10" s="1"/>
  <c r="EF26" i="10" s="1"/>
  <c r="EE12" i="10"/>
  <c r="EF12" i="10" s="1"/>
  <c r="EE22" i="10"/>
  <c r="EF22" i="10" s="1"/>
  <c r="EF18" i="10"/>
  <c r="DC22" i="10"/>
  <c r="EM33" i="10"/>
  <c r="CW23" i="10"/>
  <c r="CH25" i="10"/>
  <c r="CW25" i="10"/>
  <c r="DC14" i="10"/>
  <c r="BY14" i="10"/>
  <c r="CW8" i="10"/>
  <c r="EE28" i="10"/>
  <c r="BY27" i="10"/>
  <c r="FE30" i="10"/>
  <c r="EC25" i="10"/>
  <c r="EE25" i="10" s="1"/>
  <c r="CD24" i="10"/>
  <c r="CR24" i="10" s="1"/>
  <c r="BX24" i="10"/>
  <c r="BV24" i="10"/>
  <c r="BY20" i="10"/>
  <c r="AG66" i="10"/>
  <c r="AH65" i="10"/>
  <c r="CW16" i="10"/>
  <c r="EE15" i="10"/>
  <c r="BZ21" i="10"/>
  <c r="CA21" i="10" s="1"/>
  <c r="BY8" i="10"/>
  <c r="CW9" i="10"/>
  <c r="BX66" i="10"/>
  <c r="BX61" i="10"/>
  <c r="BX58" i="10"/>
  <c r="BX54" i="10"/>
  <c r="BX53" i="10"/>
  <c r="BX65" i="10"/>
  <c r="BX59" i="10"/>
  <c r="BX55" i="10"/>
  <c r="BX64" i="10"/>
  <c r="BX63" i="10"/>
  <c r="BQ58" i="10"/>
  <c r="BX57" i="10"/>
  <c r="BX68" i="10"/>
  <c r="BX67" i="10"/>
  <c r="BX62" i="10"/>
  <c r="BX60" i="10"/>
  <c r="BQ59" i="10"/>
  <c r="BX56" i="10"/>
  <c r="DC25" i="10"/>
  <c r="BY25" i="10"/>
  <c r="DC24" i="10"/>
  <c r="BY24" i="10"/>
  <c r="CB24" i="10"/>
  <c r="EE23" i="10"/>
  <c r="CW18" i="10"/>
  <c r="CW17" i="10"/>
  <c r="EE16" i="10"/>
  <c r="EE14" i="10"/>
  <c r="CW13" i="10"/>
  <c r="CW12" i="10"/>
  <c r="BZ15" i="10"/>
  <c r="CA15" i="10" s="1"/>
  <c r="CM15" i="10"/>
  <c r="CX15" i="10"/>
  <c r="CW6" i="10"/>
  <c r="DC5" i="10"/>
  <c r="CW19" i="10"/>
  <c r="CW14" i="10"/>
  <c r="DC12" i="10"/>
  <c r="DC11" i="10"/>
  <c r="BY11" i="10"/>
  <c r="CW10" i="10"/>
  <c r="E36" i="3"/>
  <c r="F36" i="3"/>
  <c r="H36" i="3"/>
  <c r="I36" i="3"/>
  <c r="DC19" i="10" l="1"/>
  <c r="BY13" i="10"/>
  <c r="BZ13" i="10" s="1"/>
  <c r="CA13" i="10" s="1"/>
  <c r="EE19" i="10"/>
  <c r="EF19" i="10" s="1"/>
  <c r="DC17" i="10"/>
  <c r="BY16" i="10"/>
  <c r="BY7" i="10"/>
  <c r="BY10" i="10"/>
  <c r="DC6" i="10"/>
  <c r="DC18" i="10"/>
  <c r="CX21" i="10"/>
  <c r="EC5" i="10"/>
  <c r="EE5" i="10" s="1"/>
  <c r="EF5" i="10" s="1"/>
  <c r="CH24" i="10"/>
  <c r="CQ24" i="10" s="1"/>
  <c r="BV4" i="10"/>
  <c r="BU4" i="10"/>
  <c r="BY4" i="10" s="1"/>
  <c r="CD4" i="10"/>
  <c r="CR4" i="10" s="1"/>
  <c r="DA4" i="10" s="1"/>
  <c r="BY23" i="10"/>
  <c r="BZ23" i="10" s="1"/>
  <c r="CA23" i="10" s="1"/>
  <c r="CB23" i="10" s="1"/>
  <c r="CH23" i="10" s="1"/>
  <c r="BU26" i="10"/>
  <c r="EC27" i="10"/>
  <c r="EE27" i="10" s="1"/>
  <c r="FG30" i="10"/>
  <c r="BV26" i="10"/>
  <c r="BX26" i="10"/>
  <c r="CD26" i="10"/>
  <c r="CR26" i="10" s="1"/>
  <c r="CW26" i="10"/>
  <c r="CH27" i="10"/>
  <c r="CQ27" i="10" s="1"/>
  <c r="BX4" i="10"/>
  <c r="BY9" i="10"/>
  <c r="CX9" i="10" s="1"/>
  <c r="CM23" i="10"/>
  <c r="CM13" i="10"/>
  <c r="CX13" i="10"/>
  <c r="DJ4" i="10"/>
  <c r="BZ11" i="10"/>
  <c r="CA11" i="10" s="1"/>
  <c r="CM11" i="10"/>
  <c r="CX11" i="10"/>
  <c r="EF14" i="10"/>
  <c r="EF23" i="10"/>
  <c r="CB21" i="10"/>
  <c r="CH21" i="10" s="1"/>
  <c r="CQ21" i="10" s="1"/>
  <c r="BZ17" i="10"/>
  <c r="CA17" i="10" s="1"/>
  <c r="CX17" i="10"/>
  <c r="CM17" i="10"/>
  <c r="CM27" i="10"/>
  <c r="BZ27" i="10"/>
  <c r="CX27" i="10"/>
  <c r="EF7" i="10"/>
  <c r="BZ18" i="10"/>
  <c r="CA18" i="10" s="1"/>
  <c r="CX18" i="10"/>
  <c r="CM18" i="10"/>
  <c r="CQ25" i="10"/>
  <c r="EF8" i="10"/>
  <c r="CM5" i="10"/>
  <c r="CX5" i="10"/>
  <c r="BZ5" i="10"/>
  <c r="CA5" i="10" s="1"/>
  <c r="CX10" i="10"/>
  <c r="BZ10" i="10"/>
  <c r="CA10" i="10" s="1"/>
  <c r="CM10" i="10"/>
  <c r="EF16" i="10"/>
  <c r="CQ26" i="10"/>
  <c r="BZ8" i="10"/>
  <c r="CA8" i="10" s="1"/>
  <c r="CX8" i="10"/>
  <c r="CM8" i="10"/>
  <c r="EF28" i="10"/>
  <c r="EF13" i="10"/>
  <c r="CM22" i="10"/>
  <c r="CX22" i="10"/>
  <c r="BZ22" i="10"/>
  <c r="CA22" i="10" s="1"/>
  <c r="EF9" i="10"/>
  <c r="CB15" i="10"/>
  <c r="CH15" i="10" s="1"/>
  <c r="CQ15" i="10" s="1"/>
  <c r="CX19" i="10"/>
  <c r="BZ19" i="10"/>
  <c r="CA19" i="10" s="1"/>
  <c r="CM19" i="10"/>
  <c r="CM25" i="10"/>
  <c r="CX25" i="10"/>
  <c r="BZ25" i="10"/>
  <c r="EF6" i="10"/>
  <c r="CB13" i="10"/>
  <c r="CH13" i="10" s="1"/>
  <c r="CQ13" i="10" s="1"/>
  <c r="BZ7" i="10"/>
  <c r="CA7" i="10" s="1"/>
  <c r="CX7" i="10"/>
  <c r="CM7" i="10"/>
  <c r="CX14" i="10"/>
  <c r="CM14" i="10"/>
  <c r="BZ14" i="10"/>
  <c r="CA14" i="10" s="1"/>
  <c r="EF21" i="10"/>
  <c r="EF20" i="10"/>
  <c r="CM12" i="10"/>
  <c r="CX12" i="10"/>
  <c r="BZ12" i="10"/>
  <c r="CA12" i="10" s="1"/>
  <c r="EF27" i="10"/>
  <c r="CM4" i="10"/>
  <c r="EF11" i="10"/>
  <c r="CX24" i="10"/>
  <c r="CM24" i="10"/>
  <c r="BZ24" i="10"/>
  <c r="BZ6" i="10"/>
  <c r="CA6" i="10" s="1"/>
  <c r="CX6" i="10"/>
  <c r="CM6" i="10"/>
  <c r="EF15" i="10"/>
  <c r="AG67" i="10"/>
  <c r="AH66" i="10"/>
  <c r="CX20" i="10"/>
  <c r="CM20" i="10"/>
  <c r="BZ20" i="10"/>
  <c r="CA20" i="10" s="1"/>
  <c r="EF25" i="10"/>
  <c r="EN33" i="10"/>
  <c r="E5" i="8"/>
  <c r="E6" i="8" s="1"/>
  <c r="E7" i="8" s="1"/>
  <c r="E8" i="8" s="1"/>
  <c r="E9" i="8" s="1"/>
  <c r="E10" i="8" s="1"/>
  <c r="E11" i="8" s="1"/>
  <c r="F5" i="8"/>
  <c r="F6" i="8" s="1"/>
  <c r="F7" i="8" s="1"/>
  <c r="F8" i="8" s="1"/>
  <c r="F9" i="8" s="1"/>
  <c r="F10" i="8" s="1"/>
  <c r="F11" i="8" s="1"/>
  <c r="G5" i="8"/>
  <c r="G6" i="8" s="1"/>
  <c r="G7" i="8" s="1"/>
  <c r="G8" i="8" s="1"/>
  <c r="G9" i="8" s="1"/>
  <c r="G10" i="8" s="1"/>
  <c r="G11" i="8" s="1"/>
  <c r="H5" i="8"/>
  <c r="H6" i="8"/>
  <c r="H7" i="8" s="1"/>
  <c r="H8" i="8" s="1"/>
  <c r="H9" i="8" s="1"/>
  <c r="H10" i="8" s="1"/>
  <c r="H11" i="8" s="1"/>
  <c r="D5" i="8"/>
  <c r="D6" i="8" s="1"/>
  <c r="D7" i="8" s="1"/>
  <c r="D8" i="8" s="1"/>
  <c r="D9" i="8" s="1"/>
  <c r="D10" i="8" s="1"/>
  <c r="D11" i="8" s="1"/>
  <c r="CM9" i="10" l="1"/>
  <c r="CX23" i="10"/>
  <c r="BZ16" i="10"/>
  <c r="CA16" i="10" s="1"/>
  <c r="CB16" i="10" s="1"/>
  <c r="CH16" i="10" s="1"/>
  <c r="CM16" i="10"/>
  <c r="CX16" i="10"/>
  <c r="BZ4" i="10"/>
  <c r="CA4" i="10"/>
  <c r="CX4" i="10"/>
  <c r="DC4" i="10"/>
  <c r="BY26" i="10"/>
  <c r="DC26" i="10"/>
  <c r="BZ9" i="10"/>
  <c r="CA9" i="10" s="1"/>
  <c r="CB9" i="10" s="1"/>
  <c r="CH9" i="10" s="1"/>
  <c r="CQ9" i="10" s="1"/>
  <c r="CB12" i="10"/>
  <c r="CH12" i="10" s="1"/>
  <c r="CB18" i="10"/>
  <c r="CH18" i="10" s="1"/>
  <c r="CQ18" i="10" s="1"/>
  <c r="CB6" i="10"/>
  <c r="CH6" i="10" s="1"/>
  <c r="CB19" i="10"/>
  <c r="CH19" i="10" s="1"/>
  <c r="CQ19" i="10" s="1"/>
  <c r="CB22" i="10"/>
  <c r="CH22" i="10" s="1"/>
  <c r="CB8" i="10"/>
  <c r="CH8" i="10" s="1"/>
  <c r="CB10" i="10"/>
  <c r="CH10" i="10" s="1"/>
  <c r="EO33" i="10"/>
  <c r="BG5" i="10"/>
  <c r="D24" i="10" s="1"/>
  <c r="CB5" i="10"/>
  <c r="CH5" i="10" s="1"/>
  <c r="CQ5" i="10" s="1"/>
  <c r="CQ16" i="10"/>
  <c r="CB20" i="10"/>
  <c r="CH20" i="10" s="1"/>
  <c r="CQ20" i="10" s="1"/>
  <c r="AG68" i="10"/>
  <c r="AH67" i="10"/>
  <c r="CQ23" i="10"/>
  <c r="CB17" i="10"/>
  <c r="CH17" i="10" s="1"/>
  <c r="CB14" i="10"/>
  <c r="CH14" i="10" s="1"/>
  <c r="CQ14" i="10" s="1"/>
  <c r="CB7" i="10"/>
  <c r="CH7" i="10" s="1"/>
  <c r="CB11" i="10"/>
  <c r="CH11" i="10" s="1"/>
  <c r="CQ11" i="10" s="1"/>
  <c r="DL4" i="10"/>
  <c r="DP4" i="10" s="1"/>
  <c r="AZ28" i="1"/>
  <c r="BO28" i="1" s="1"/>
  <c r="DV4" i="10" l="1"/>
  <c r="DW4" i="10" s="1"/>
  <c r="DX4" i="10" s="1"/>
  <c r="BE4" i="10" s="1"/>
  <c r="CB4" i="10"/>
  <c r="BG4" i="10"/>
  <c r="C24" i="10" s="1"/>
  <c r="BZ26" i="10"/>
  <c r="CM26" i="10"/>
  <c r="CX26" i="10"/>
  <c r="DR4" i="10"/>
  <c r="DS4" i="10" s="1"/>
  <c r="CQ8" i="10"/>
  <c r="EP33" i="10"/>
  <c r="DK4" i="10"/>
  <c r="CQ7" i="10"/>
  <c r="CQ17" i="10"/>
  <c r="AH68" i="10"/>
  <c r="AG69" i="10"/>
  <c r="CQ10" i="10"/>
  <c r="CQ22" i="10"/>
  <c r="CQ6" i="10"/>
  <c r="CQ12" i="10"/>
  <c r="CC4" i="10" l="1"/>
  <c r="CI4" i="10" s="1"/>
  <c r="CS4" i="10" s="1"/>
  <c r="CT4" i="10" s="1"/>
  <c r="CH4" i="10"/>
  <c r="DF5" i="10"/>
  <c r="DT4" i="10"/>
  <c r="BC4" i="10" s="1"/>
  <c r="AG70" i="10"/>
  <c r="AH69" i="10"/>
  <c r="EP57" i="10"/>
  <c r="EK9" i="10" s="1"/>
  <c r="EQ33" i="10"/>
  <c r="B33" i="1"/>
  <c r="CQ4" i="10" l="1"/>
  <c r="DB4" i="10" s="1"/>
  <c r="DD4" i="10" s="1"/>
  <c r="CU4" i="10"/>
  <c r="CV4" i="10"/>
  <c r="DV5" i="10"/>
  <c r="DW5" i="10" s="1"/>
  <c r="DA5" i="10"/>
  <c r="DB5" i="10" s="1"/>
  <c r="DD5" i="10" s="1"/>
  <c r="CC5" i="10"/>
  <c r="BB5" i="10"/>
  <c r="DG5" i="10"/>
  <c r="DH5" i="10" s="1"/>
  <c r="ER33" i="10"/>
  <c r="AG71" i="10"/>
  <c r="AH70" i="10"/>
  <c r="AZ33" i="1"/>
  <c r="F9" i="3" s="1"/>
  <c r="AZ32" i="1"/>
  <c r="AZ31" i="1"/>
  <c r="AZ5" i="1"/>
  <c r="B13" i="3" s="1"/>
  <c r="J13" i="3" s="1"/>
  <c r="AZ6" i="1"/>
  <c r="B14" i="3" s="1"/>
  <c r="J14" i="3" s="1"/>
  <c r="AZ7" i="1"/>
  <c r="B15" i="3" s="1"/>
  <c r="J15" i="3" s="1"/>
  <c r="AZ8" i="1"/>
  <c r="B16" i="3" s="1"/>
  <c r="J16" i="3" s="1"/>
  <c r="AZ9" i="1"/>
  <c r="B17" i="3" s="1"/>
  <c r="J17" i="3" s="1"/>
  <c r="AZ10" i="1"/>
  <c r="B18" i="3" s="1"/>
  <c r="J18" i="3" s="1"/>
  <c r="AZ11" i="1"/>
  <c r="B19" i="3" s="1"/>
  <c r="J19" i="3" s="1"/>
  <c r="AZ12" i="1"/>
  <c r="B20" i="3" s="1"/>
  <c r="J20" i="3" s="1"/>
  <c r="AZ13" i="1"/>
  <c r="B21" i="3" s="1"/>
  <c r="J21" i="3" s="1"/>
  <c r="AZ14" i="1"/>
  <c r="B22" i="3" s="1"/>
  <c r="J22" i="3" s="1"/>
  <c r="AZ15" i="1"/>
  <c r="B23" i="3" s="1"/>
  <c r="J23" i="3" s="1"/>
  <c r="AZ16" i="1"/>
  <c r="B24" i="3" s="1"/>
  <c r="J24" i="3" s="1"/>
  <c r="AZ17" i="1"/>
  <c r="B25" i="3" s="1"/>
  <c r="J25" i="3" s="1"/>
  <c r="AZ18" i="1"/>
  <c r="B26" i="3" s="1"/>
  <c r="J26" i="3" s="1"/>
  <c r="AZ19" i="1"/>
  <c r="B27" i="3" s="1"/>
  <c r="J27" i="3" s="1"/>
  <c r="AZ20" i="1"/>
  <c r="B28" i="3" s="1"/>
  <c r="J28" i="3" s="1"/>
  <c r="AZ21" i="1"/>
  <c r="B29" i="3" s="1"/>
  <c r="J29" i="3" s="1"/>
  <c r="AZ22" i="1"/>
  <c r="B30" i="3" s="1"/>
  <c r="J30" i="3" s="1"/>
  <c r="AZ23" i="1"/>
  <c r="B31" i="3" s="1"/>
  <c r="J31" i="3" s="1"/>
  <c r="AZ24" i="1"/>
  <c r="B32" i="3" s="1"/>
  <c r="J32" i="3" s="1"/>
  <c r="AZ25" i="1"/>
  <c r="B33" i="3" s="1"/>
  <c r="J33" i="3" s="1"/>
  <c r="AZ26" i="1"/>
  <c r="B34" i="3" s="1"/>
  <c r="J34" i="3" s="1"/>
  <c r="AZ27" i="1"/>
  <c r="B35" i="3" s="1"/>
  <c r="J35" i="3" s="1"/>
  <c r="AZ4" i="1"/>
  <c r="B12" i="3" s="1"/>
  <c r="J12" i="3" s="1"/>
  <c r="BW4" i="10" l="1"/>
  <c r="BF4" i="10"/>
  <c r="DY6" i="10"/>
  <c r="DE5" i="10"/>
  <c r="CI5" i="10"/>
  <c r="CS5" i="10" s="1"/>
  <c r="CT5" i="10" s="1"/>
  <c r="AH71" i="10"/>
  <c r="AG72" i="10"/>
  <c r="ES33" i="10"/>
  <c r="D22" i="10"/>
  <c r="DX5" i="10"/>
  <c r="BE5" i="10" s="1"/>
  <c r="EG5" i="10"/>
  <c r="EH5" i="10" s="1"/>
  <c r="DN5" i="10" s="1"/>
  <c r="C13" i="3"/>
  <c r="C19" i="3"/>
  <c r="C21" i="3"/>
  <c r="C24" i="3"/>
  <c r="C26" i="3"/>
  <c r="C29" i="3"/>
  <c r="C32" i="3"/>
  <c r="C34" i="3"/>
  <c r="C15" i="3"/>
  <c r="C18" i="3"/>
  <c r="C31" i="3"/>
  <c r="C12" i="3"/>
  <c r="C17" i="3"/>
  <c r="C20" i="3"/>
  <c r="C23" i="3"/>
  <c r="C28" i="3"/>
  <c r="C30" i="3"/>
  <c r="C33" i="3"/>
  <c r="C14" i="3"/>
  <c r="C16" i="3"/>
  <c r="C22" i="3"/>
  <c r="C27" i="3"/>
  <c r="C35" i="3"/>
  <c r="C25" i="3"/>
  <c r="B42" i="1"/>
  <c r="B41" i="1"/>
  <c r="B39" i="1"/>
  <c r="B37" i="1"/>
  <c r="B36" i="1"/>
  <c r="B35" i="1"/>
  <c r="B34" i="1"/>
  <c r="B31" i="1"/>
  <c r="DM14" i="10" l="1"/>
  <c r="DM9" i="10"/>
  <c r="DM18" i="10"/>
  <c r="DM17" i="10"/>
  <c r="DM20" i="10"/>
  <c r="DM26" i="10"/>
  <c r="DM27" i="10"/>
  <c r="DM6" i="10"/>
  <c r="DM15" i="10"/>
  <c r="DM23" i="10"/>
  <c r="DM24" i="10"/>
  <c r="DM13" i="10"/>
  <c r="DM22" i="10"/>
  <c r="DM7" i="10"/>
  <c r="DM5" i="10"/>
  <c r="BD5" i="10" s="1"/>
  <c r="D23" i="10" s="1"/>
  <c r="DM8" i="10"/>
  <c r="DM4" i="10"/>
  <c r="BD4" i="10" s="1"/>
  <c r="DM16" i="10"/>
  <c r="DM19" i="10"/>
  <c r="DM25" i="10"/>
  <c r="DM12" i="10"/>
  <c r="DM10" i="10"/>
  <c r="DM21" i="10"/>
  <c r="DM11" i="10"/>
  <c r="ET33" i="10"/>
  <c r="AG73" i="10"/>
  <c r="AH72" i="10"/>
  <c r="DO5" i="10"/>
  <c r="EJ5" i="10"/>
  <c r="EL34" i="10" s="1"/>
  <c r="DJ5" i="10"/>
  <c r="EL32" i="1"/>
  <c r="DP6" i="1" s="1"/>
  <c r="EM32" i="1"/>
  <c r="DP7" i="1" s="1"/>
  <c r="EN32" i="1"/>
  <c r="DP8" i="1" s="1"/>
  <c r="EO32" i="1"/>
  <c r="DP9" i="1" s="1"/>
  <c r="EP32" i="1"/>
  <c r="DP10" i="1" s="1"/>
  <c r="EQ32" i="1"/>
  <c r="DP11" i="1" s="1"/>
  <c r="ER32" i="1"/>
  <c r="DP12" i="1" s="1"/>
  <c r="ES32" i="1"/>
  <c r="DP13" i="1" s="1"/>
  <c r="ET32" i="1"/>
  <c r="DP14" i="1" s="1"/>
  <c r="EU32" i="1"/>
  <c r="DP15" i="1" s="1"/>
  <c r="EV32" i="1"/>
  <c r="DP16" i="1" s="1"/>
  <c r="EW32" i="1"/>
  <c r="DP17" i="1" s="1"/>
  <c r="EX32" i="1"/>
  <c r="DP18" i="1" s="1"/>
  <c r="EY32" i="1"/>
  <c r="DP19" i="1" s="1"/>
  <c r="EZ32" i="1"/>
  <c r="DP20" i="1" s="1"/>
  <c r="FA32" i="1"/>
  <c r="DP21" i="1" s="1"/>
  <c r="FB32" i="1"/>
  <c r="DP22" i="1" s="1"/>
  <c r="FC32" i="1"/>
  <c r="DP23" i="1" s="1"/>
  <c r="FD32" i="1"/>
  <c r="DP24" i="1" s="1"/>
  <c r="FE32" i="1"/>
  <c r="DP25" i="1" s="1"/>
  <c r="FF32" i="1"/>
  <c r="DP26" i="1" s="1"/>
  <c r="FG32" i="1"/>
  <c r="DP27" i="1" s="1"/>
  <c r="EK32" i="1"/>
  <c r="DP5" i="1" s="1"/>
  <c r="EJ32" i="1"/>
  <c r="CU5" i="10"/>
  <c r="DM29" i="10" l="1"/>
  <c r="DL5" i="10"/>
  <c r="DP5" i="10" s="1"/>
  <c r="EM34" i="10"/>
  <c r="EL58" i="10"/>
  <c r="EL59" i="10" s="1"/>
  <c r="EL6" i="10" s="1"/>
  <c r="AG74" i="10"/>
  <c r="AH73" i="10"/>
  <c r="BW5" i="10"/>
  <c r="BF5" i="10"/>
  <c r="DY7" i="10"/>
  <c r="EU33" i="10"/>
  <c r="CV5" i="10"/>
  <c r="DP4" i="1"/>
  <c r="EN34" i="10" l="1"/>
  <c r="DR5" i="10"/>
  <c r="DS5" i="10" s="1"/>
  <c r="EV33" i="10"/>
  <c r="AH74" i="10"/>
  <c r="AG75" i="10"/>
  <c r="DK5" i="10"/>
  <c r="DL14" i="1"/>
  <c r="DL18" i="1"/>
  <c r="DL22" i="1"/>
  <c r="DL15" i="1"/>
  <c r="DL19" i="1"/>
  <c r="DL23" i="1"/>
  <c r="DL16" i="1"/>
  <c r="DL20" i="1"/>
  <c r="DL24" i="1"/>
  <c r="DL17" i="1"/>
  <c r="DL21" i="1"/>
  <c r="DE4" i="1"/>
  <c r="E30" i="11" s="1"/>
  <c r="CC106" i="1"/>
  <c r="CA106" i="1"/>
  <c r="CD106" i="1" s="1"/>
  <c r="CC105" i="1"/>
  <c r="CA105" i="1"/>
  <c r="CD105" i="1" s="1"/>
  <c r="CC104" i="1"/>
  <c r="CA104" i="1"/>
  <c r="CD104" i="1" s="1"/>
  <c r="CC103" i="1"/>
  <c r="CA103" i="1"/>
  <c r="CD103" i="1" s="1"/>
  <c r="CC102" i="1"/>
  <c r="CA102" i="1"/>
  <c r="CD102" i="1" s="1"/>
  <c r="CC101" i="1"/>
  <c r="CA101" i="1"/>
  <c r="CD101" i="1" s="1"/>
  <c r="CC100" i="1"/>
  <c r="CA100" i="1"/>
  <c r="CD100" i="1" s="1"/>
  <c r="CC99" i="1"/>
  <c r="CA99" i="1"/>
  <c r="CD99" i="1" s="1"/>
  <c r="CC98" i="1"/>
  <c r="CA98" i="1"/>
  <c r="CD98" i="1" s="1"/>
  <c r="CC97" i="1"/>
  <c r="CA97" i="1"/>
  <c r="CD97" i="1" s="1"/>
  <c r="CC96" i="1"/>
  <c r="CA96" i="1"/>
  <c r="CD96" i="1" s="1"/>
  <c r="CC95" i="1"/>
  <c r="CA95" i="1"/>
  <c r="CD95" i="1" s="1"/>
  <c r="CC94" i="1"/>
  <c r="CA94" i="1"/>
  <c r="CD94" i="1" s="1"/>
  <c r="BV94" i="1"/>
  <c r="CC93" i="1"/>
  <c r="CA93" i="1"/>
  <c r="CD93" i="1" s="1"/>
  <c r="BV93" i="1"/>
  <c r="CC92" i="1"/>
  <c r="CA92" i="1"/>
  <c r="CD92" i="1" s="1"/>
  <c r="BV92" i="1"/>
  <c r="CC91" i="1"/>
  <c r="CA91" i="1"/>
  <c r="CD91" i="1" s="1"/>
  <c r="BV91" i="1"/>
  <c r="CC90" i="1"/>
  <c r="CA90" i="1"/>
  <c r="CD90" i="1" s="1"/>
  <c r="CC89" i="1"/>
  <c r="CA89" i="1"/>
  <c r="CD89" i="1" s="1"/>
  <c r="CD88" i="1"/>
  <c r="CC88" i="1"/>
  <c r="CB87" i="1"/>
  <c r="BT78" i="1"/>
  <c r="BQ79" i="1" s="1"/>
  <c r="BQ76" i="1"/>
  <c r="BO77" i="1" s="1"/>
  <c r="BQ71" i="1"/>
  <c r="BO72" i="1" s="1"/>
  <c r="BO73" i="1" s="1"/>
  <c r="BV68" i="1"/>
  <c r="BV67" i="1"/>
  <c r="BV66" i="1"/>
  <c r="BV65" i="1"/>
  <c r="BV64" i="1"/>
  <c r="BV63" i="1"/>
  <c r="BV62" i="1"/>
  <c r="AG62" i="1"/>
  <c r="AH62" i="1" s="1"/>
  <c r="BV61" i="1"/>
  <c r="AH61" i="1"/>
  <c r="BV60" i="1"/>
  <c r="BV59" i="1"/>
  <c r="BV58" i="1"/>
  <c r="BV57" i="1"/>
  <c r="BV56" i="1"/>
  <c r="BV55" i="1"/>
  <c r="BV54" i="1"/>
  <c r="BV53" i="1"/>
  <c r="BP42" i="1"/>
  <c r="BP41" i="1"/>
  <c r="BO39" i="1"/>
  <c r="BP39" i="1" s="1"/>
  <c r="AI39" i="1"/>
  <c r="AH39" i="1"/>
  <c r="AG39" i="1"/>
  <c r="BO35" i="1"/>
  <c r="BP35" i="1" s="1"/>
  <c r="BO34" i="1"/>
  <c r="BP34" i="1" s="1"/>
  <c r="BV38" i="1" s="1"/>
  <c r="BO33" i="1"/>
  <c r="BP33" i="1" s="1"/>
  <c r="BV37" i="1" s="1"/>
  <c r="BV32" i="1"/>
  <c r="BV33" i="1" s="1"/>
  <c r="BO32" i="1"/>
  <c r="BP32" i="1" s="1"/>
  <c r="BP63" i="1" s="1"/>
  <c r="BO31" i="1"/>
  <c r="BP31" i="1" s="1"/>
  <c r="CN11" i="1" s="1"/>
  <c r="CO11" i="1" s="1"/>
  <c r="BO30" i="1"/>
  <c r="BP30" i="1" s="1"/>
  <c r="BP54" i="1" s="1"/>
  <c r="CL29" i="1"/>
  <c r="BY29" i="1"/>
  <c r="BO29" i="1"/>
  <c r="CD27" i="1"/>
  <c r="CE27" i="1" s="1"/>
  <c r="BR27" i="1"/>
  <c r="BP27" i="1"/>
  <c r="BQ27" i="1" s="1"/>
  <c r="CD26" i="1"/>
  <c r="CE26" i="1" s="1"/>
  <c r="CI26" i="1" s="1"/>
  <c r="CJ26" i="1" s="1"/>
  <c r="BR26" i="1"/>
  <c r="BS26" i="1" s="1"/>
  <c r="BU26" i="1" s="1"/>
  <c r="BP26" i="1"/>
  <c r="BQ26" i="1" s="1"/>
  <c r="CD25" i="1"/>
  <c r="CE25" i="1" s="1"/>
  <c r="BR25" i="1"/>
  <c r="BS25" i="1" s="1"/>
  <c r="BP25" i="1"/>
  <c r="BQ25" i="1" s="1"/>
  <c r="CD24" i="1"/>
  <c r="CE24" i="1" s="1"/>
  <c r="BR24" i="1"/>
  <c r="BS24" i="1" s="1"/>
  <c r="BP24" i="1"/>
  <c r="BQ24" i="1" s="1"/>
  <c r="CD23" i="1"/>
  <c r="CE23" i="1" s="1"/>
  <c r="CI23" i="1" s="1"/>
  <c r="CJ23" i="1" s="1"/>
  <c r="BR23" i="1"/>
  <c r="BS23" i="1" s="1"/>
  <c r="BW23" i="1" s="1"/>
  <c r="BP23" i="1"/>
  <c r="BQ23" i="1" s="1"/>
  <c r="CD22" i="1"/>
  <c r="CE22" i="1" s="1"/>
  <c r="CI22" i="1" s="1"/>
  <c r="CJ22" i="1" s="1"/>
  <c r="BR22" i="1"/>
  <c r="BS22" i="1" s="1"/>
  <c r="EB23" i="1" s="1"/>
  <c r="BP22" i="1"/>
  <c r="BQ22" i="1" s="1"/>
  <c r="CD21" i="1"/>
  <c r="CE21" i="1" s="1"/>
  <c r="BR21" i="1"/>
  <c r="BS21" i="1" s="1"/>
  <c r="EB22" i="1" s="1"/>
  <c r="BP21" i="1"/>
  <c r="BQ21" i="1" s="1"/>
  <c r="CD20" i="1"/>
  <c r="CE20" i="1" s="1"/>
  <c r="BR20" i="1"/>
  <c r="BS20" i="1" s="1"/>
  <c r="EB21" i="1" s="1"/>
  <c r="BP20" i="1"/>
  <c r="BQ20" i="1" s="1"/>
  <c r="CD19" i="1"/>
  <c r="CE19" i="1" s="1"/>
  <c r="BR19" i="1"/>
  <c r="BS19" i="1" s="1"/>
  <c r="EB20" i="1" s="1"/>
  <c r="BP19" i="1"/>
  <c r="BQ19" i="1" s="1"/>
  <c r="CD18" i="1"/>
  <c r="CE18" i="1" s="1"/>
  <c r="BR18" i="1"/>
  <c r="BS18" i="1" s="1"/>
  <c r="BW18" i="1" s="1"/>
  <c r="BP18" i="1"/>
  <c r="BQ18" i="1" s="1"/>
  <c r="CD17" i="1"/>
  <c r="CE17" i="1" s="1"/>
  <c r="BR17" i="1"/>
  <c r="BS17" i="1" s="1"/>
  <c r="BU17" i="1" s="1"/>
  <c r="BP17" i="1"/>
  <c r="BQ17" i="1" s="1"/>
  <c r="CD16" i="1"/>
  <c r="CE16" i="1" s="1"/>
  <c r="BR16" i="1"/>
  <c r="BS16" i="1" s="1"/>
  <c r="BW16" i="1" s="1"/>
  <c r="BP16" i="1"/>
  <c r="BQ16" i="1" s="1"/>
  <c r="CD15" i="1"/>
  <c r="CE15" i="1" s="1"/>
  <c r="BR15" i="1"/>
  <c r="BS15" i="1" s="1"/>
  <c r="EB16" i="1" s="1"/>
  <c r="BP15" i="1"/>
  <c r="BQ15" i="1" s="1"/>
  <c r="CD14" i="1"/>
  <c r="CE14" i="1" s="1"/>
  <c r="BR14" i="1"/>
  <c r="BS14" i="1" s="1"/>
  <c r="BP14" i="1"/>
  <c r="BQ14" i="1" s="1"/>
  <c r="CD13" i="1"/>
  <c r="CE13" i="1" s="1"/>
  <c r="BR13" i="1"/>
  <c r="BS13" i="1" s="1"/>
  <c r="ES30" i="1" s="1"/>
  <c r="BP13" i="1"/>
  <c r="BQ13" i="1" s="1"/>
  <c r="CD12" i="1"/>
  <c r="CE12" i="1" s="1"/>
  <c r="BR12" i="1"/>
  <c r="BP12" i="1"/>
  <c r="BQ12" i="1" s="1"/>
  <c r="CD11" i="1"/>
  <c r="CE11" i="1" s="1"/>
  <c r="BR11" i="1"/>
  <c r="BS11" i="1" s="1"/>
  <c r="EQ30" i="1" s="1"/>
  <c r="BP11" i="1"/>
  <c r="BQ11" i="1" s="1"/>
  <c r="CD10" i="1"/>
  <c r="CE10" i="1" s="1"/>
  <c r="BR10" i="1"/>
  <c r="BS10" i="1" s="1"/>
  <c r="BP10" i="1"/>
  <c r="BQ10" i="1" s="1"/>
  <c r="CD9" i="1"/>
  <c r="CE9" i="1" s="1"/>
  <c r="BR9" i="1"/>
  <c r="BS9" i="1" s="1"/>
  <c r="BP9" i="1"/>
  <c r="BQ9" i="1" s="1"/>
  <c r="CD8" i="1"/>
  <c r="CE8" i="1" s="1"/>
  <c r="BR8" i="1"/>
  <c r="BP8" i="1"/>
  <c r="BQ8" i="1" s="1"/>
  <c r="CD7" i="1"/>
  <c r="CE7" i="1" s="1"/>
  <c r="BR7" i="1"/>
  <c r="BS7" i="1" s="1"/>
  <c r="BP7" i="1"/>
  <c r="BQ7" i="1" s="1"/>
  <c r="CD6" i="1"/>
  <c r="CE6" i="1" s="1"/>
  <c r="BR6" i="1"/>
  <c r="BS6" i="1" s="1"/>
  <c r="BP6" i="1"/>
  <c r="BQ6" i="1" s="1"/>
  <c r="CD5" i="1"/>
  <c r="CE5" i="1" s="1"/>
  <c r="BR5" i="1"/>
  <c r="BP5" i="1"/>
  <c r="BQ5" i="1" s="1"/>
  <c r="CD4" i="1"/>
  <c r="CE4" i="1" s="1"/>
  <c r="BR4" i="1"/>
  <c r="BS4" i="1" s="1"/>
  <c r="BP4" i="1"/>
  <c r="BQ4" i="1" s="1"/>
  <c r="BD3" i="1"/>
  <c r="BW6" i="1" l="1"/>
  <c r="D34" i="11"/>
  <c r="D38" i="11"/>
  <c r="D42" i="11"/>
  <c r="D46" i="11"/>
  <c r="D50" i="11"/>
  <c r="D45" i="11"/>
  <c r="D53" i="11"/>
  <c r="D33" i="11"/>
  <c r="D37" i="11"/>
  <c r="D41" i="11"/>
  <c r="D49" i="11"/>
  <c r="D32" i="11"/>
  <c r="D36" i="11"/>
  <c r="D40" i="11"/>
  <c r="D44" i="11"/>
  <c r="D48" i="11"/>
  <c r="D52" i="11"/>
  <c r="D31" i="11"/>
  <c r="D35" i="11"/>
  <c r="D39" i="11"/>
  <c r="D43" i="11"/>
  <c r="D47" i="11"/>
  <c r="D51" i="11"/>
  <c r="CK23" i="1"/>
  <c r="CK22" i="1"/>
  <c r="CK26" i="1"/>
  <c r="DF6" i="10"/>
  <c r="DT5" i="10"/>
  <c r="BC5" i="10" s="1"/>
  <c r="AG76" i="10"/>
  <c r="AH75" i="10"/>
  <c r="EW33" i="10"/>
  <c r="EO34" i="10"/>
  <c r="EI48" i="1"/>
  <c r="EI49" i="1"/>
  <c r="EI51" i="1"/>
  <c r="EI52" i="1"/>
  <c r="EI53" i="1"/>
  <c r="EI54" i="1"/>
  <c r="EI33" i="1"/>
  <c r="EI47" i="1"/>
  <c r="EI50" i="1"/>
  <c r="DT26" i="1"/>
  <c r="EI34" i="1"/>
  <c r="EI35" i="1"/>
  <c r="EI37" i="1"/>
  <c r="EI38" i="1"/>
  <c r="EI39" i="1"/>
  <c r="EI40" i="1"/>
  <c r="EI41" i="1"/>
  <c r="EI42" i="1"/>
  <c r="EI43" i="1"/>
  <c r="EI44" i="1"/>
  <c r="EI45" i="1"/>
  <c r="DT17" i="1"/>
  <c r="BO14" i="1"/>
  <c r="CF12" i="1"/>
  <c r="CV12" i="1" s="1"/>
  <c r="CF8" i="1"/>
  <c r="CV8" i="1" s="1"/>
  <c r="CN7" i="1"/>
  <c r="CO7" i="1" s="1"/>
  <c r="CN6" i="1"/>
  <c r="CO6" i="1" s="1"/>
  <c r="BO79" i="1"/>
  <c r="CN9" i="1"/>
  <c r="CO9" i="1" s="1"/>
  <c r="BP29" i="1"/>
  <c r="CY14" i="1" s="1"/>
  <c r="BO6" i="1"/>
  <c r="BO12" i="1"/>
  <c r="BO22" i="1"/>
  <c r="BO8" i="1"/>
  <c r="BO10" i="1"/>
  <c r="BO20" i="1"/>
  <c r="BO16" i="1"/>
  <c r="BO18" i="1"/>
  <c r="AG63" i="1"/>
  <c r="AG64" i="1" s="1"/>
  <c r="BO5" i="1"/>
  <c r="DT4" i="1"/>
  <c r="BO11" i="1"/>
  <c r="BO13" i="1"/>
  <c r="BO15" i="1"/>
  <c r="BO19" i="1"/>
  <c r="BO21" i="1"/>
  <c r="BO23" i="1"/>
  <c r="D34" i="7"/>
  <c r="D37" i="7"/>
  <c r="D36" i="7"/>
  <c r="D33" i="7"/>
  <c r="D38" i="7"/>
  <c r="D40" i="7"/>
  <c r="D42" i="7"/>
  <c r="D44" i="7"/>
  <c r="D46" i="7"/>
  <c r="D48" i="7"/>
  <c r="D51" i="7"/>
  <c r="D31" i="7"/>
  <c r="D35" i="7"/>
  <c r="D43" i="7"/>
  <c r="D52" i="7"/>
  <c r="D39" i="7"/>
  <c r="D41" i="7"/>
  <c r="D45" i="7"/>
  <c r="D47" i="7"/>
  <c r="D49" i="7"/>
  <c r="D32" i="7"/>
  <c r="D50" i="7"/>
  <c r="D53" i="7"/>
  <c r="CN15" i="1"/>
  <c r="CO15" i="1" s="1"/>
  <c r="CN20" i="1"/>
  <c r="CO20" i="1" s="1"/>
  <c r="CF7" i="1"/>
  <c r="CV7" i="1" s="1"/>
  <c r="CN23" i="1"/>
  <c r="CO23" i="1" s="1"/>
  <c r="CN12" i="1"/>
  <c r="CO12" i="1" s="1"/>
  <c r="CN18" i="1"/>
  <c r="CO18" i="1" s="1"/>
  <c r="BS8" i="1"/>
  <c r="EN30" i="1" s="1"/>
  <c r="BS5" i="1"/>
  <c r="EB6" i="1" s="1"/>
  <c r="CN8" i="1"/>
  <c r="CO8" i="1" s="1"/>
  <c r="CN10" i="1"/>
  <c r="CO10" i="1" s="1"/>
  <c r="CN14" i="1"/>
  <c r="CO14" i="1" s="1"/>
  <c r="CN16" i="1"/>
  <c r="CO16" i="1" s="1"/>
  <c r="CN19" i="1"/>
  <c r="CO19" i="1" s="1"/>
  <c r="CN21" i="1"/>
  <c r="CO21" i="1" s="1"/>
  <c r="CN24" i="1"/>
  <c r="CO24" i="1" s="1"/>
  <c r="CN25" i="1"/>
  <c r="CO25" i="1" s="1"/>
  <c r="CN13" i="1"/>
  <c r="CO13" i="1" s="1"/>
  <c r="CN17" i="1"/>
  <c r="CO17" i="1" s="1"/>
  <c r="CN22" i="1"/>
  <c r="CO22" i="1" s="1"/>
  <c r="CN4" i="1"/>
  <c r="CO4" i="1" s="1"/>
  <c r="CN5" i="1"/>
  <c r="CO5" i="1" s="1"/>
  <c r="BW15" i="1"/>
  <c r="BW22" i="1"/>
  <c r="BW21" i="1"/>
  <c r="EB18" i="1"/>
  <c r="BT17" i="1"/>
  <c r="BX17" i="1" s="1"/>
  <c r="BW19" i="1"/>
  <c r="BW20" i="1"/>
  <c r="BT7" i="1"/>
  <c r="BX7" i="1" s="1"/>
  <c r="CL7" i="1" s="1"/>
  <c r="EP30" i="1"/>
  <c r="EB11" i="1"/>
  <c r="CC10" i="1"/>
  <c r="CQ10" i="1" s="1"/>
  <c r="BW10" i="1"/>
  <c r="EC7" i="1"/>
  <c r="EC9" i="1"/>
  <c r="BT9" i="1"/>
  <c r="CF9" i="1"/>
  <c r="BU10" i="1"/>
  <c r="BT4" i="1"/>
  <c r="CF4" i="1"/>
  <c r="CI4" i="1"/>
  <c r="CJ4" i="1" s="1"/>
  <c r="EM30" i="1"/>
  <c r="BW7" i="1"/>
  <c r="EB8" i="1"/>
  <c r="CC7" i="1"/>
  <c r="CQ7" i="1" s="1"/>
  <c r="BU7" i="1"/>
  <c r="EO30" i="1"/>
  <c r="CC9" i="1"/>
  <c r="CQ9" i="1" s="1"/>
  <c r="BU9" i="1"/>
  <c r="EB10" i="1"/>
  <c r="BW9" i="1"/>
  <c r="CF11" i="1"/>
  <c r="CF13" i="1"/>
  <c r="ET30" i="1"/>
  <c r="CC14" i="1"/>
  <c r="CQ14" i="1" s="1"/>
  <c r="BW14" i="1"/>
  <c r="EB15" i="1"/>
  <c r="BU14" i="1"/>
  <c r="EJ30" i="1"/>
  <c r="CC4" i="1"/>
  <c r="CQ4" i="1" s="1"/>
  <c r="BU4" i="1"/>
  <c r="EB5" i="1"/>
  <c r="BW4" i="1"/>
  <c r="CF5" i="1"/>
  <c r="EI36" i="1"/>
  <c r="BO7" i="1"/>
  <c r="DT7" i="1"/>
  <c r="CI5" i="1"/>
  <c r="CJ5" i="1" s="1"/>
  <c r="EL30" i="1"/>
  <c r="EB7" i="1"/>
  <c r="CC6" i="1"/>
  <c r="CQ6" i="1" s="1"/>
  <c r="BU6" i="1"/>
  <c r="CF6" i="1"/>
  <c r="EC8" i="1"/>
  <c r="CF10" i="1"/>
  <c r="CF14" i="1"/>
  <c r="BO4" i="1"/>
  <c r="DT5" i="1"/>
  <c r="BT6" i="1"/>
  <c r="DT6" i="1"/>
  <c r="EC6" i="1"/>
  <c r="BO9" i="1"/>
  <c r="EC10" i="1"/>
  <c r="BT10" i="1"/>
  <c r="BW11" i="1"/>
  <c r="CC11" i="1"/>
  <c r="CQ11" i="1" s="1"/>
  <c r="BS12" i="1"/>
  <c r="BT12" i="1" s="1"/>
  <c r="BU13" i="1"/>
  <c r="EC14" i="1"/>
  <c r="BT14" i="1"/>
  <c r="EV30" i="1"/>
  <c r="EB17" i="1"/>
  <c r="CC16" i="1"/>
  <c r="CQ16" i="1" s="1"/>
  <c r="BU16" i="1"/>
  <c r="CF16" i="1"/>
  <c r="EC18" i="1"/>
  <c r="BT18" i="1"/>
  <c r="EC24" i="1"/>
  <c r="BT24" i="1"/>
  <c r="EC25" i="1"/>
  <c r="EC11" i="1"/>
  <c r="BT11" i="1"/>
  <c r="DT9" i="1"/>
  <c r="EC13" i="1"/>
  <c r="BT13" i="1"/>
  <c r="EB14" i="1"/>
  <c r="CF17" i="1"/>
  <c r="EC5" i="1"/>
  <c r="DT8" i="1"/>
  <c r="BU11" i="1"/>
  <c r="EC12" i="1"/>
  <c r="EB12" i="1"/>
  <c r="BW13" i="1"/>
  <c r="CC13" i="1"/>
  <c r="CQ13" i="1" s="1"/>
  <c r="EU30" i="1"/>
  <c r="CC15" i="1"/>
  <c r="CQ15" i="1" s="1"/>
  <c r="BU15" i="1"/>
  <c r="CF15" i="1"/>
  <c r="CF24" i="1"/>
  <c r="CI24" i="1"/>
  <c r="CJ24" i="1" s="1"/>
  <c r="DT10" i="1"/>
  <c r="DT11" i="1"/>
  <c r="DT12" i="1"/>
  <c r="DT13" i="1"/>
  <c r="DT14" i="1"/>
  <c r="BT15" i="1"/>
  <c r="DT15" i="1"/>
  <c r="EC15" i="1"/>
  <c r="BT16" i="1"/>
  <c r="DT16" i="1"/>
  <c r="EC16" i="1"/>
  <c r="ED16" i="1" s="1"/>
  <c r="EC17" i="1"/>
  <c r="CC19" i="1"/>
  <c r="CQ19" i="1" s="1"/>
  <c r="BU19" i="1"/>
  <c r="EY30" i="1"/>
  <c r="CF19" i="1"/>
  <c r="FA30" i="1"/>
  <c r="CC21" i="1"/>
  <c r="CQ21" i="1" s="1"/>
  <c r="BU21" i="1"/>
  <c r="CF21" i="1"/>
  <c r="FC30" i="1"/>
  <c r="EB24" i="1"/>
  <c r="CC23" i="1"/>
  <c r="CQ23" i="1" s="1"/>
  <c r="BU23" i="1"/>
  <c r="CF23" i="1"/>
  <c r="FD30" i="1"/>
  <c r="EB25" i="1"/>
  <c r="CC24" i="1"/>
  <c r="CQ24" i="1" s="1"/>
  <c r="BU24" i="1"/>
  <c r="BW24" i="1"/>
  <c r="EX30" i="1"/>
  <c r="CC18" i="1"/>
  <c r="CQ18" i="1" s="1"/>
  <c r="EB19" i="1"/>
  <c r="FE30" i="1"/>
  <c r="EB26" i="1"/>
  <c r="BW25" i="1"/>
  <c r="CC25" i="1"/>
  <c r="CQ25" i="1" s="1"/>
  <c r="BU25" i="1"/>
  <c r="EI46" i="1"/>
  <c r="BO17" i="1"/>
  <c r="EW30" i="1"/>
  <c r="BW17" i="1"/>
  <c r="CC17" i="1"/>
  <c r="CQ17" i="1" s="1"/>
  <c r="BU18" i="1"/>
  <c r="CF18" i="1"/>
  <c r="EZ30" i="1"/>
  <c r="CC20" i="1"/>
  <c r="CQ20" i="1" s="1"/>
  <c r="BU20" i="1"/>
  <c r="CF20" i="1"/>
  <c r="FB30" i="1"/>
  <c r="CC22" i="1"/>
  <c r="CQ22" i="1" s="1"/>
  <c r="BU22" i="1"/>
  <c r="CF22" i="1"/>
  <c r="EC26" i="1"/>
  <c r="BT26" i="1"/>
  <c r="BS27" i="1"/>
  <c r="DT18" i="1"/>
  <c r="BT19" i="1"/>
  <c r="DT19" i="1"/>
  <c r="EC19" i="1"/>
  <c r="BT20" i="1"/>
  <c r="DT20" i="1"/>
  <c r="EC20" i="1"/>
  <c r="ED20" i="1" s="1"/>
  <c r="BT21" i="1"/>
  <c r="DT21" i="1"/>
  <c r="EC21" i="1"/>
  <c r="ED21" i="1" s="1"/>
  <c r="BT22" i="1"/>
  <c r="DT22" i="1"/>
  <c r="EC22" i="1"/>
  <c r="ED22" i="1" s="1"/>
  <c r="BT23" i="1"/>
  <c r="DT23" i="1"/>
  <c r="EC23" i="1"/>
  <c r="ED23" i="1" s="1"/>
  <c r="BO24" i="1"/>
  <c r="DT24" i="1"/>
  <c r="CI27" i="1"/>
  <c r="CJ27" i="1" s="1"/>
  <c r="CF27" i="1"/>
  <c r="DT28" i="1"/>
  <c r="CF25" i="1"/>
  <c r="CI25" i="1"/>
  <c r="CJ25" i="1" s="1"/>
  <c r="BT25" i="1"/>
  <c r="CF26" i="1"/>
  <c r="EI56" i="1"/>
  <c r="BO27" i="1"/>
  <c r="EC27" i="1"/>
  <c r="DT27" i="1"/>
  <c r="BP62" i="1"/>
  <c r="BP65" i="1" s="1"/>
  <c r="BP66" i="1" s="1"/>
  <c r="BP67" i="1" s="1"/>
  <c r="CN28" i="1"/>
  <c r="CO28" i="1" s="1"/>
  <c r="CN27" i="1"/>
  <c r="CO27" i="1" s="1"/>
  <c r="CN26" i="1"/>
  <c r="CO26" i="1" s="1"/>
  <c r="BO25" i="1"/>
  <c r="DT25" i="1"/>
  <c r="EI55" i="1"/>
  <c r="BO26" i="1"/>
  <c r="FF30" i="1"/>
  <c r="EB27" i="1"/>
  <c r="BW26" i="1"/>
  <c r="CC26" i="1"/>
  <c r="CQ26" i="1" s="1"/>
  <c r="AH63" i="1"/>
  <c r="AG65" i="1" l="1"/>
  <c r="AG66" i="1" s="1"/>
  <c r="AG67" i="1" s="1"/>
  <c r="AG68" i="1" s="1"/>
  <c r="AG69" i="1" s="1"/>
  <c r="AG70" i="1" s="1"/>
  <c r="AG71" i="1" s="1"/>
  <c r="AG72" i="1" s="1"/>
  <c r="AG73" i="1" s="1"/>
  <c r="AG74" i="1" s="1"/>
  <c r="AG75" i="1" s="1"/>
  <c r="AG76" i="1" s="1"/>
  <c r="AG77" i="1" s="1"/>
  <c r="AG78" i="1" s="1"/>
  <c r="AG79" i="1" s="1"/>
  <c r="AG80" i="1" s="1"/>
  <c r="CK4" i="1"/>
  <c r="CK5" i="1"/>
  <c r="CK25" i="1"/>
  <c r="CK24" i="1"/>
  <c r="CK27" i="1"/>
  <c r="AH76" i="10"/>
  <c r="AG77" i="10"/>
  <c r="EP34" i="10"/>
  <c r="EX33" i="10"/>
  <c r="CC6" i="10"/>
  <c r="DV6" i="10"/>
  <c r="DW6" i="10" s="1"/>
  <c r="DZ6" i="10" s="1"/>
  <c r="DG6" i="10"/>
  <c r="DH6" i="10" s="1"/>
  <c r="DA6" i="10"/>
  <c r="DB6" i="10" s="1"/>
  <c r="DD6" i="10" s="1"/>
  <c r="CY7" i="1"/>
  <c r="BY30" i="1"/>
  <c r="BY31" i="1" s="1"/>
  <c r="CY16" i="1"/>
  <c r="CY18" i="1"/>
  <c r="CY9" i="1"/>
  <c r="CY5" i="1"/>
  <c r="CY21" i="1"/>
  <c r="CY26" i="1"/>
  <c r="CY20" i="1"/>
  <c r="CY6" i="1"/>
  <c r="CY25" i="1"/>
  <c r="BY32" i="1"/>
  <c r="BY33" i="1" s="1"/>
  <c r="CY17" i="1"/>
  <c r="CY15" i="1"/>
  <c r="CY13" i="1"/>
  <c r="BP53" i="1"/>
  <c r="BP56" i="1" s="1"/>
  <c r="BP57" i="1" s="1"/>
  <c r="BW68" i="1" s="1"/>
  <c r="CY19" i="1"/>
  <c r="CY4" i="1"/>
  <c r="CY8" i="1"/>
  <c r="CY24" i="1"/>
  <c r="CY28" i="1"/>
  <c r="CC8" i="1"/>
  <c r="CQ8" i="1" s="1"/>
  <c r="CY27" i="1"/>
  <c r="CY22" i="1"/>
  <c r="CY23" i="1"/>
  <c r="CY10" i="1"/>
  <c r="CY12" i="1"/>
  <c r="CY11" i="1"/>
  <c r="BT8" i="1"/>
  <c r="DB8" i="1" s="1"/>
  <c r="BT5" i="1"/>
  <c r="DB5" i="1" s="1"/>
  <c r="BW8" i="1"/>
  <c r="EB9" i="1"/>
  <c r="ED9" i="1" s="1"/>
  <c r="EE9" i="1" s="1"/>
  <c r="BU5" i="1"/>
  <c r="ED18" i="1"/>
  <c r="EE18" i="1" s="1"/>
  <c r="ED6" i="1"/>
  <c r="EE6" i="1" s="1"/>
  <c r="BU8" i="1"/>
  <c r="ED7" i="1"/>
  <c r="EE7" i="1" s="1"/>
  <c r="DB17" i="1"/>
  <c r="BW5" i="1"/>
  <c r="CC5" i="1"/>
  <c r="CQ5" i="1" s="1"/>
  <c r="DB7" i="1"/>
  <c r="EK30" i="1"/>
  <c r="ED27" i="1"/>
  <c r="EE27" i="1" s="1"/>
  <c r="CW7" i="1"/>
  <c r="BY7" i="1"/>
  <c r="BZ7" i="1" s="1"/>
  <c r="CA7" i="1" s="1"/>
  <c r="CG7" i="1" s="1"/>
  <c r="CP7" i="1" s="1"/>
  <c r="ED26" i="1"/>
  <c r="EE26" i="1" s="1"/>
  <c r="ED25" i="1"/>
  <c r="EE25" i="1" s="1"/>
  <c r="ED14" i="1"/>
  <c r="EE14" i="1" s="1"/>
  <c r="EE16" i="1"/>
  <c r="EE22" i="1"/>
  <c r="EE23" i="1"/>
  <c r="EE20" i="1"/>
  <c r="DB21" i="1"/>
  <c r="BX21" i="1"/>
  <c r="CV22" i="1"/>
  <c r="CV18" i="1"/>
  <c r="CV23" i="1"/>
  <c r="ED24" i="1"/>
  <c r="ED12" i="1"/>
  <c r="DB11" i="1"/>
  <c r="BX11" i="1"/>
  <c r="CV16" i="1"/>
  <c r="ED17" i="1"/>
  <c r="ER30" i="1"/>
  <c r="EB13" i="1"/>
  <c r="ED13" i="1" s="1"/>
  <c r="BU12" i="1"/>
  <c r="BW12" i="1"/>
  <c r="CC12" i="1"/>
  <c r="CQ12" i="1" s="1"/>
  <c r="DB10" i="1"/>
  <c r="BX10" i="1"/>
  <c r="CV5" i="1"/>
  <c r="ED5" i="1"/>
  <c r="CV13" i="1"/>
  <c r="CV11" i="1"/>
  <c r="ED8" i="1"/>
  <c r="CV9" i="1"/>
  <c r="ED11" i="1"/>
  <c r="DB22" i="1"/>
  <c r="BX22" i="1"/>
  <c r="CV19" i="1"/>
  <c r="CV24" i="1"/>
  <c r="CV15" i="1"/>
  <c r="CV17" i="1"/>
  <c r="EE21" i="1"/>
  <c r="DB13" i="1"/>
  <c r="BX13" i="1"/>
  <c r="DB18" i="1"/>
  <c r="BX18" i="1"/>
  <c r="CV10" i="1"/>
  <c r="CV6" i="1"/>
  <c r="DB9" i="1"/>
  <c r="BX9" i="1"/>
  <c r="DB25" i="1"/>
  <c r="BX25" i="1"/>
  <c r="CV25" i="1"/>
  <c r="BW27" i="1"/>
  <c r="FG30" i="1"/>
  <c r="EB28" i="1"/>
  <c r="BU27" i="1"/>
  <c r="BT27" i="1"/>
  <c r="CC27" i="1"/>
  <c r="CQ27" i="1" s="1"/>
  <c r="AH64" i="1"/>
  <c r="DB23" i="1"/>
  <c r="BX23" i="1"/>
  <c r="DB19" i="1"/>
  <c r="BX19" i="1"/>
  <c r="BX26" i="1"/>
  <c r="DB26" i="1"/>
  <c r="CV20" i="1"/>
  <c r="DB15" i="1"/>
  <c r="BX15" i="1"/>
  <c r="DB12" i="1"/>
  <c r="BX12" i="1"/>
  <c r="CV14" i="1"/>
  <c r="ED15" i="1"/>
  <c r="CV4" i="1"/>
  <c r="CV26" i="1"/>
  <c r="CV27" i="1"/>
  <c r="DB20" i="1"/>
  <c r="BX20" i="1"/>
  <c r="ED19" i="1"/>
  <c r="CV21" i="1"/>
  <c r="DB16" i="1"/>
  <c r="BX16" i="1"/>
  <c r="CW17" i="1"/>
  <c r="CL17" i="1"/>
  <c r="BY17" i="1"/>
  <c r="BZ17" i="1" s="1"/>
  <c r="BX24" i="1"/>
  <c r="DB24" i="1"/>
  <c r="DB14" i="1"/>
  <c r="BX14" i="1"/>
  <c r="DB6" i="1"/>
  <c r="BX6" i="1"/>
  <c r="ED10" i="1"/>
  <c r="DB4" i="1"/>
  <c r="BX4" i="1"/>
  <c r="DZ7" i="10" l="1"/>
  <c r="EB6" i="10"/>
  <c r="DE6" i="10"/>
  <c r="EJ6" i="10" s="1"/>
  <c r="EM35" i="10" s="1"/>
  <c r="DX6" i="10"/>
  <c r="EG6" i="10"/>
  <c r="EH6" i="10" s="1"/>
  <c r="DN6" i="10" s="1"/>
  <c r="EY33" i="10"/>
  <c r="EQ34" i="10"/>
  <c r="CI6" i="10"/>
  <c r="CS6" i="10" s="1"/>
  <c r="CT6" i="10" s="1"/>
  <c r="AH77" i="10"/>
  <c r="AG78" i="10"/>
  <c r="BX8" i="1"/>
  <c r="CW8" i="1" s="1"/>
  <c r="BW54" i="1"/>
  <c r="BW60" i="1"/>
  <c r="BW55" i="1"/>
  <c r="BW63" i="1"/>
  <c r="BW64" i="1"/>
  <c r="BW53" i="1"/>
  <c r="BP58" i="1"/>
  <c r="BW62" i="1"/>
  <c r="BW59" i="1"/>
  <c r="BW57" i="1"/>
  <c r="BW61" i="1"/>
  <c r="BW56" i="1"/>
  <c r="BW67" i="1"/>
  <c r="BW65" i="1"/>
  <c r="BW58" i="1"/>
  <c r="BW66" i="1"/>
  <c r="BP59" i="1"/>
  <c r="BX5" i="1"/>
  <c r="CW5" i="1" s="1"/>
  <c r="CL6" i="1"/>
  <c r="BY6" i="1"/>
  <c r="BZ6" i="1" s="1"/>
  <c r="CA6" i="1" s="1"/>
  <c r="CG6" i="1" s="1"/>
  <c r="CW6" i="1"/>
  <c r="EE19" i="1"/>
  <c r="EE15" i="1"/>
  <c r="CW12" i="1"/>
  <c r="CL12" i="1"/>
  <c r="BY12" i="1"/>
  <c r="BZ12" i="1" s="1"/>
  <c r="BX27" i="1"/>
  <c r="DB27" i="1"/>
  <c r="CW25" i="1"/>
  <c r="BY25" i="1"/>
  <c r="BZ25" i="1" s="1"/>
  <c r="CL25" i="1"/>
  <c r="CL18" i="1"/>
  <c r="BY18" i="1"/>
  <c r="BZ18" i="1" s="1"/>
  <c r="CW18" i="1"/>
  <c r="EE17" i="1"/>
  <c r="CW11" i="1"/>
  <c r="CL11" i="1"/>
  <c r="BY11" i="1"/>
  <c r="BZ11" i="1" s="1"/>
  <c r="EE12" i="1"/>
  <c r="BY24" i="1"/>
  <c r="BZ24" i="1" s="1"/>
  <c r="CW24" i="1"/>
  <c r="CL24" i="1"/>
  <c r="CL23" i="1"/>
  <c r="BY23" i="1"/>
  <c r="BZ23" i="1" s="1"/>
  <c r="CW23" i="1"/>
  <c r="EE5" i="1"/>
  <c r="CW10" i="1"/>
  <c r="BY10" i="1"/>
  <c r="BZ10" i="1" s="1"/>
  <c r="CL10" i="1"/>
  <c r="EE24" i="1"/>
  <c r="CL21" i="1"/>
  <c r="BY21" i="1"/>
  <c r="BZ21" i="1" s="1"/>
  <c r="CW21" i="1"/>
  <c r="EE10" i="1"/>
  <c r="CL14" i="1"/>
  <c r="CW14" i="1"/>
  <c r="BY14" i="1"/>
  <c r="BZ14" i="1" s="1"/>
  <c r="CL15" i="1"/>
  <c r="BY15" i="1"/>
  <c r="BZ15" i="1" s="1"/>
  <c r="CW15" i="1"/>
  <c r="CL26" i="1"/>
  <c r="CW26" i="1"/>
  <c r="BY26" i="1"/>
  <c r="BZ26" i="1" s="1"/>
  <c r="AH65" i="1"/>
  <c r="BY9" i="1"/>
  <c r="BZ9" i="1" s="1"/>
  <c r="CW9" i="1"/>
  <c r="CL9" i="1"/>
  <c r="CW13" i="1"/>
  <c r="BY13" i="1"/>
  <c r="BZ13" i="1" s="1"/>
  <c r="CL13" i="1"/>
  <c r="CL22" i="1"/>
  <c r="BY22" i="1"/>
  <c r="BZ22" i="1" s="1"/>
  <c r="CW22" i="1"/>
  <c r="EE11" i="1"/>
  <c r="EE8" i="1"/>
  <c r="EE13" i="1"/>
  <c r="CA17" i="1"/>
  <c r="CG17" i="1" s="1"/>
  <c r="CP17" i="1" s="1"/>
  <c r="BY4" i="1"/>
  <c r="BZ4" i="1" s="1"/>
  <c r="CW4" i="1"/>
  <c r="CL4" i="1"/>
  <c r="CL16" i="1"/>
  <c r="BY16" i="1"/>
  <c r="BZ16" i="1" s="1"/>
  <c r="CW16" i="1"/>
  <c r="CL20" i="1"/>
  <c r="BY20" i="1"/>
  <c r="BZ20" i="1" s="1"/>
  <c r="CW20" i="1"/>
  <c r="CL19" i="1"/>
  <c r="BY19" i="1"/>
  <c r="BZ19" i="1" s="1"/>
  <c r="CW19" i="1"/>
  <c r="BE6" i="10" l="1"/>
  <c r="BG6" i="10"/>
  <c r="E24" i="10" s="1"/>
  <c r="BD6" i="10"/>
  <c r="E23" i="10" s="1"/>
  <c r="BB6" i="10"/>
  <c r="E22" i="10" s="1"/>
  <c r="EB7" i="10"/>
  <c r="EM58" i="10"/>
  <c r="EM59" i="10" s="1"/>
  <c r="EL7" i="10" s="1"/>
  <c r="EN35" i="10"/>
  <c r="EO35" i="10" s="1"/>
  <c r="DJ6" i="10"/>
  <c r="DL6" i="10" s="1"/>
  <c r="DK6" i="10" s="1"/>
  <c r="EZ33" i="10"/>
  <c r="AG79" i="10"/>
  <c r="AH78" i="10"/>
  <c r="ER34" i="10"/>
  <c r="EQ57" i="10"/>
  <c r="EK10" i="10" s="1"/>
  <c r="DO6" i="10"/>
  <c r="BY8" i="1"/>
  <c r="BZ8" i="1" s="1"/>
  <c r="CA8" i="1" s="1"/>
  <c r="CG8" i="1" s="1"/>
  <c r="CP8" i="1" s="1"/>
  <c r="CL8" i="1"/>
  <c r="CL5" i="1"/>
  <c r="BY5" i="1"/>
  <c r="BZ5" i="1" s="1"/>
  <c r="BF5" i="1" s="1"/>
  <c r="D24" i="1" s="1"/>
  <c r="CA4" i="1"/>
  <c r="CG4" i="1" s="1"/>
  <c r="CP4" i="1" s="1"/>
  <c r="BF4" i="1"/>
  <c r="CA25" i="1"/>
  <c r="CG25" i="1" s="1"/>
  <c r="CP25" i="1" s="1"/>
  <c r="CA26" i="1"/>
  <c r="CG26" i="1" s="1"/>
  <c r="CP26" i="1" s="1"/>
  <c r="CP6" i="1"/>
  <c r="CA9" i="1"/>
  <c r="CG9" i="1" s="1"/>
  <c r="CP9" i="1" s="1"/>
  <c r="CA22" i="1"/>
  <c r="CG22" i="1" s="1"/>
  <c r="CP22" i="1" s="1"/>
  <c r="CA15" i="1"/>
  <c r="CG15" i="1" s="1"/>
  <c r="CP15" i="1" s="1"/>
  <c r="CA21" i="1"/>
  <c r="CG21" i="1" s="1"/>
  <c r="CP21" i="1" s="1"/>
  <c r="CA11" i="1"/>
  <c r="CG11" i="1" s="1"/>
  <c r="CP11" i="1" s="1"/>
  <c r="CA13" i="1"/>
  <c r="CG13" i="1" s="1"/>
  <c r="CP13" i="1" s="1"/>
  <c r="CA12" i="1"/>
  <c r="CG12" i="1" s="1"/>
  <c r="CP12" i="1" s="1"/>
  <c r="CA19" i="1"/>
  <c r="CG19" i="1" s="1"/>
  <c r="CP19" i="1" s="1"/>
  <c r="CA20" i="1"/>
  <c r="CG20" i="1" s="1"/>
  <c r="CP20" i="1" s="1"/>
  <c r="CA16" i="1"/>
  <c r="CG16" i="1" s="1"/>
  <c r="CP16" i="1" s="1"/>
  <c r="CA14" i="1"/>
  <c r="CG14" i="1" s="1"/>
  <c r="CP14" i="1" s="1"/>
  <c r="CA10" i="1"/>
  <c r="CG10" i="1" s="1"/>
  <c r="CP10" i="1" s="1"/>
  <c r="CA23" i="1"/>
  <c r="CG23" i="1" s="1"/>
  <c r="CP23" i="1" s="1"/>
  <c r="CA24" i="1"/>
  <c r="CG24" i="1" s="1"/>
  <c r="CP24" i="1" s="1"/>
  <c r="CA18" i="1"/>
  <c r="CG18" i="1" s="1"/>
  <c r="CP18" i="1" s="1"/>
  <c r="CL27" i="1"/>
  <c r="CW27" i="1"/>
  <c r="BY27" i="1"/>
  <c r="BZ27" i="1" s="1"/>
  <c r="AH66" i="1"/>
  <c r="CU6" i="10"/>
  <c r="BD7" i="10" l="1"/>
  <c r="F23" i="10" s="1"/>
  <c r="BG7" i="10"/>
  <c r="F24" i="10" s="1"/>
  <c r="FA33" i="10"/>
  <c r="BW6" i="10"/>
  <c r="BF6" i="10"/>
  <c r="DY8" i="10"/>
  <c r="AG80" i="10"/>
  <c r="AH79" i="10"/>
  <c r="DP6" i="10"/>
  <c r="ES34" i="10"/>
  <c r="EP35" i="10"/>
  <c r="CV6" i="10"/>
  <c r="CA5" i="1"/>
  <c r="CG5" i="1" s="1"/>
  <c r="CP5" i="1" s="1"/>
  <c r="CA27" i="1"/>
  <c r="CG27" i="1" s="1"/>
  <c r="CP27" i="1" s="1"/>
  <c r="AH67" i="1"/>
  <c r="ET34" i="10" l="1"/>
  <c r="AG81" i="10"/>
  <c r="AH80" i="10"/>
  <c r="FB33" i="10"/>
  <c r="EQ35" i="10"/>
  <c r="DR6" i="10"/>
  <c r="DS6" i="10" s="1"/>
  <c r="AH68" i="1"/>
  <c r="DF7" i="10" l="1"/>
  <c r="DT6" i="10"/>
  <c r="BC6" i="10" s="1"/>
  <c r="EU34" i="10"/>
  <c r="AG82" i="10"/>
  <c r="AH81" i="10"/>
  <c r="ER35" i="10"/>
  <c r="FC33" i="10"/>
  <c r="AH69" i="1"/>
  <c r="CC7" i="10" l="1"/>
  <c r="DV7" i="10"/>
  <c r="DW7" i="10" s="1"/>
  <c r="DG7" i="10"/>
  <c r="DH7" i="10" s="1"/>
  <c r="DA7" i="10"/>
  <c r="DB7" i="10" s="1"/>
  <c r="DD7" i="10" s="1"/>
  <c r="BB7" i="10"/>
  <c r="ES35" i="10"/>
  <c r="ER57" i="10"/>
  <c r="EK11" i="10" s="1"/>
  <c r="EV34" i="10"/>
  <c r="FD33" i="10"/>
  <c r="AG83" i="10"/>
  <c r="AH83" i="10" s="1"/>
  <c r="AH82" i="10"/>
  <c r="AH70" i="1"/>
  <c r="DE7" i="10" l="1"/>
  <c r="FE33" i="10"/>
  <c r="EW34" i="10"/>
  <c r="F22" i="10"/>
  <c r="DX7" i="10"/>
  <c r="BE7" i="10" s="1"/>
  <c r="EG7" i="10"/>
  <c r="EH7" i="10" s="1"/>
  <c r="DN7" i="10" s="1"/>
  <c r="CI7" i="10"/>
  <c r="CS7" i="10" s="1"/>
  <c r="CT7" i="10" s="1"/>
  <c r="ET35" i="10"/>
  <c r="AH71" i="1"/>
  <c r="EX34" i="10" l="1"/>
  <c r="FF33" i="10"/>
  <c r="EU35" i="10"/>
  <c r="DO7" i="10"/>
  <c r="EJ7" i="10"/>
  <c r="EN36" i="10" s="1"/>
  <c r="DJ7" i="10"/>
  <c r="AH72" i="1"/>
  <c r="CU7" i="10"/>
  <c r="CV7" i="10" l="1"/>
  <c r="FG33" i="10"/>
  <c r="EV35" i="10"/>
  <c r="DL7" i="10"/>
  <c r="DP7" i="10" s="1"/>
  <c r="EY34" i="10"/>
  <c r="EO36" i="10"/>
  <c r="EN58" i="10"/>
  <c r="EN59" i="10" s="1"/>
  <c r="EL8" i="10" s="1"/>
  <c r="BW7" i="10"/>
  <c r="BF7" i="10"/>
  <c r="DY9" i="10"/>
  <c r="AH73" i="1"/>
  <c r="DR7" i="10" l="1"/>
  <c r="DS7" i="10" s="1"/>
  <c r="EW35" i="10"/>
  <c r="DK7" i="10"/>
  <c r="EP36" i="10"/>
  <c r="FH33" i="10"/>
  <c r="EZ34" i="10"/>
  <c r="AH74" i="1"/>
  <c r="DF8" i="10" l="1"/>
  <c r="DT7" i="10"/>
  <c r="BC7" i="10" s="1"/>
  <c r="EX35" i="10"/>
  <c r="EQ36" i="10"/>
  <c r="FA34" i="10"/>
  <c r="AH75" i="1"/>
  <c r="ER36" i="10" l="1"/>
  <c r="EY35" i="10"/>
  <c r="FB34" i="10"/>
  <c r="CC8" i="10"/>
  <c r="DV8" i="10"/>
  <c r="DW8" i="10" s="1"/>
  <c r="DZ8" i="10" s="1"/>
  <c r="DG8" i="10"/>
  <c r="DH8" i="10" s="1"/>
  <c r="DA8" i="10"/>
  <c r="DB8" i="10" s="1"/>
  <c r="DD8" i="10" s="1"/>
  <c r="AH76" i="1"/>
  <c r="DZ9" i="10" l="1"/>
  <c r="EB8" i="10"/>
  <c r="DE8" i="10"/>
  <c r="EJ8" i="10" s="1"/>
  <c r="EO37" i="10" s="1"/>
  <c r="DX8" i="10"/>
  <c r="EG8" i="10"/>
  <c r="EH8" i="10" s="1"/>
  <c r="DN8" i="10" s="1"/>
  <c r="EZ35" i="10"/>
  <c r="FC34" i="10"/>
  <c r="CI8" i="10"/>
  <c r="CS8" i="10" s="1"/>
  <c r="CT8" i="10" s="1"/>
  <c r="ES36" i="10"/>
  <c r="AH77" i="1"/>
  <c r="BE8" i="10" l="1"/>
  <c r="BD8" i="10"/>
  <c r="G23" i="10" s="1"/>
  <c r="BG8" i="10"/>
  <c r="G24" i="10" s="1"/>
  <c r="BB8" i="10"/>
  <c r="G22" i="10" s="1"/>
  <c r="DZ10" i="10"/>
  <c r="DZ11" i="10" s="1"/>
  <c r="DZ12" i="10" s="1"/>
  <c r="DZ13" i="10" s="1"/>
  <c r="DZ14" i="10" s="1"/>
  <c r="DZ15" i="10" s="1"/>
  <c r="DZ16" i="10" s="1"/>
  <c r="DZ17" i="10" s="1"/>
  <c r="DZ18" i="10" s="1"/>
  <c r="DZ19" i="10" s="1"/>
  <c r="DZ20" i="10" s="1"/>
  <c r="DZ21" i="10" s="1"/>
  <c r="DZ22" i="10" s="1"/>
  <c r="DZ23" i="10" s="1"/>
  <c r="EB9" i="10"/>
  <c r="DJ8" i="10"/>
  <c r="DL8" i="10" s="1"/>
  <c r="EP37" i="10"/>
  <c r="EQ37" i="10" s="1"/>
  <c r="EO58" i="10"/>
  <c r="EO59" i="10" s="1"/>
  <c r="EL9" i="10" s="1"/>
  <c r="DO8" i="10"/>
  <c r="ET36" i="10"/>
  <c r="ES57" i="10"/>
  <c r="EK12" i="10" s="1"/>
  <c r="FD34" i="10"/>
  <c r="FA35" i="10"/>
  <c r="AH78" i="1"/>
  <c r="CU8" i="10"/>
  <c r="BD9" i="10" l="1"/>
  <c r="H23" i="10" s="1"/>
  <c r="BG9" i="10"/>
  <c r="H24" i="10" s="1"/>
  <c r="CV8" i="10"/>
  <c r="DP8" i="10"/>
  <c r="DR8" i="10" s="1"/>
  <c r="DS8" i="10" s="1"/>
  <c r="DK8" i="10"/>
  <c r="ER37" i="10"/>
  <c r="FE34" i="10"/>
  <c r="FB35" i="10"/>
  <c r="EU36" i="10"/>
  <c r="BW8" i="10"/>
  <c r="BF8" i="10"/>
  <c r="DY10" i="10"/>
  <c r="AH79" i="1"/>
  <c r="DF9" i="10" l="1"/>
  <c r="DT8" i="10"/>
  <c r="BC8" i="10" s="1"/>
  <c r="EV36" i="10"/>
  <c r="FF34" i="10"/>
  <c r="FC35" i="10"/>
  <c r="EB10" i="10"/>
  <c r="ES37" i="10"/>
  <c r="AG81" i="1"/>
  <c r="AH80" i="1"/>
  <c r="EW36" i="10" l="1"/>
  <c r="ET37" i="10"/>
  <c r="FG34" i="10"/>
  <c r="BG10" i="10"/>
  <c r="I24" i="10" s="1"/>
  <c r="BD10" i="10"/>
  <c r="I23" i="10" s="1"/>
  <c r="FD35" i="10"/>
  <c r="CC9" i="10"/>
  <c r="DV9" i="10"/>
  <c r="DW9" i="10" s="1"/>
  <c r="DA9" i="10"/>
  <c r="DB9" i="10" s="1"/>
  <c r="DD9" i="10" s="1"/>
  <c r="DG9" i="10"/>
  <c r="DH9" i="10" s="1"/>
  <c r="BB9" i="10"/>
  <c r="H22" i="10" s="1"/>
  <c r="AG82" i="1"/>
  <c r="AH81" i="1"/>
  <c r="DE9" i="10" l="1"/>
  <c r="EU37" i="10"/>
  <c r="ET57" i="10"/>
  <c r="EK13" i="10" s="1"/>
  <c r="FE35" i="10"/>
  <c r="DX9" i="10"/>
  <c r="BE9" i="10" s="1"/>
  <c r="EG9" i="10"/>
  <c r="EH9" i="10" s="1"/>
  <c r="DN9" i="10" s="1"/>
  <c r="CI9" i="10"/>
  <c r="FH34" i="10"/>
  <c r="EX36" i="10"/>
  <c r="AG83" i="1"/>
  <c r="AH83" i="1" s="1"/>
  <c r="AH82" i="1"/>
  <c r="CS9" i="10" l="1"/>
  <c r="CT9" i="10" s="1"/>
  <c r="CJ9" i="10"/>
  <c r="CK9" i="10" s="1"/>
  <c r="CL9" i="10" s="1"/>
  <c r="DO9" i="10"/>
  <c r="FF35" i="10"/>
  <c r="EY36" i="10"/>
  <c r="EJ9" i="10"/>
  <c r="EP38" i="10" s="1"/>
  <c r="DJ9" i="10"/>
  <c r="EV37" i="10"/>
  <c r="L32" i="2"/>
  <c r="L33" i="2"/>
  <c r="L34" i="2"/>
  <c r="L35" i="2"/>
  <c r="L36" i="2"/>
  <c r="L37" i="2"/>
  <c r="L38" i="2"/>
  <c r="L39" i="2"/>
  <c r="L40" i="2"/>
  <c r="L41" i="2"/>
  <c r="L42" i="2"/>
  <c r="L43" i="2"/>
  <c r="L44" i="2"/>
  <c r="L45" i="2"/>
  <c r="L46" i="2"/>
  <c r="L47" i="2"/>
  <c r="L48" i="2"/>
  <c r="L49" i="2"/>
  <c r="L50" i="2"/>
  <c r="L51" i="2"/>
  <c r="L52" i="2"/>
  <c r="L53" i="2"/>
  <c r="L54" i="2"/>
  <c r="L55" i="2"/>
  <c r="CU9" i="10"/>
  <c r="CV9" i="10" l="1"/>
  <c r="EZ36" i="10"/>
  <c r="EW37" i="10"/>
  <c r="DL9" i="10"/>
  <c r="DP9" i="10" s="1"/>
  <c r="EQ38" i="10"/>
  <c r="ER38" i="10" s="1"/>
  <c r="ES38" i="10" s="1"/>
  <c r="ET38" i="10" s="1"/>
  <c r="EU38" i="10" s="1"/>
  <c r="EP58" i="10"/>
  <c r="EP59" i="10" s="1"/>
  <c r="EL10" i="10" s="1"/>
  <c r="FG35" i="10"/>
  <c r="BW9" i="10"/>
  <c r="BF9" i="10"/>
  <c r="DY11" i="10"/>
  <c r="H139" i="2"/>
  <c r="L139" i="2" s="1"/>
  <c r="J139" i="2"/>
  <c r="K139" i="2"/>
  <c r="F139" i="2"/>
  <c r="M139" i="2" s="1"/>
  <c r="DR9" i="10" l="1"/>
  <c r="DS9" i="10" s="1"/>
  <c r="EX37" i="10"/>
  <c r="EB11" i="10"/>
  <c r="FH35" i="10"/>
  <c r="DK9" i="10"/>
  <c r="EV38" i="10"/>
  <c r="EW38" i="10" s="1"/>
  <c r="EX38" i="10" s="1"/>
  <c r="EY38" i="10" s="1"/>
  <c r="EZ38" i="10" s="1"/>
  <c r="FA38" i="10" s="1"/>
  <c r="FB38" i="10" s="1"/>
  <c r="FC38" i="10" s="1"/>
  <c r="FD38" i="10" s="1"/>
  <c r="FE38" i="10" s="1"/>
  <c r="FF38" i="10" s="1"/>
  <c r="FG38" i="10" s="1"/>
  <c r="FH38" i="10" s="1"/>
  <c r="EU57" i="10"/>
  <c r="EK14" i="10" s="1"/>
  <c r="FA36" i="10"/>
  <c r="DL7" i="1"/>
  <c r="DF10" i="10" l="1"/>
  <c r="DT9" i="10"/>
  <c r="BC9" i="10" s="1"/>
  <c r="EY37" i="10"/>
  <c r="FB36" i="10"/>
  <c r="BD11" i="10"/>
  <c r="J23" i="10" s="1"/>
  <c r="BG11" i="10"/>
  <c r="J24" i="10" s="1"/>
  <c r="DL26" i="1"/>
  <c r="DL10" i="1"/>
  <c r="DL6" i="1"/>
  <c r="DL5" i="1"/>
  <c r="BC5" i="1" s="1"/>
  <c r="D23" i="1" s="1"/>
  <c r="DL25" i="1"/>
  <c r="DL9" i="1"/>
  <c r="DL4" i="1"/>
  <c r="DL12" i="1"/>
  <c r="DL8" i="1"/>
  <c r="DL13" i="1"/>
  <c r="DL27" i="1"/>
  <c r="DL11" i="1"/>
  <c r="FC36" i="10" l="1"/>
  <c r="EZ37" i="10"/>
  <c r="CC10" i="10"/>
  <c r="DV10" i="10"/>
  <c r="DW10" i="10" s="1"/>
  <c r="DA10" i="10"/>
  <c r="DB10" i="10" s="1"/>
  <c r="DD10" i="10" s="1"/>
  <c r="DG10" i="10"/>
  <c r="DH10" i="10" s="1"/>
  <c r="BB10" i="10"/>
  <c r="I22" i="10" s="1"/>
  <c r="BC4" i="1"/>
  <c r="DL29" i="1"/>
  <c r="N279" i="2"/>
  <c r="J279" i="2"/>
  <c r="I279" i="2"/>
  <c r="G279" i="2"/>
  <c r="N251" i="2"/>
  <c r="J251" i="2"/>
  <c r="I251" i="2"/>
  <c r="G251" i="2"/>
  <c r="N223" i="2"/>
  <c r="J223" i="2"/>
  <c r="I223" i="2"/>
  <c r="G223" i="2"/>
  <c r="N195" i="2"/>
  <c r="J195" i="2"/>
  <c r="I195" i="2"/>
  <c r="N167" i="2"/>
  <c r="J167" i="2"/>
  <c r="I167" i="2"/>
  <c r="G167" i="2"/>
  <c r="J111" i="2"/>
  <c r="I111" i="2"/>
  <c r="F111" i="2"/>
  <c r="J83" i="2"/>
  <c r="I83" i="2"/>
  <c r="BP28" i="1"/>
  <c r="BQ28" i="1" s="1"/>
  <c r="D54" i="11" s="1"/>
  <c r="F83" i="2"/>
  <c r="I55" i="2"/>
  <c r="J55" i="2"/>
  <c r="CE28" i="10" s="1"/>
  <c r="CF28" i="10" s="1"/>
  <c r="BS28" i="10"/>
  <c r="CJ28" i="10" l="1"/>
  <c r="CK28" i="10" s="1"/>
  <c r="CG28" i="10"/>
  <c r="CW28" i="10" s="1"/>
  <c r="BT28" i="10"/>
  <c r="CA28" i="10"/>
  <c r="EG10" i="10"/>
  <c r="EH10" i="10" s="1"/>
  <c r="DN10" i="10" s="1"/>
  <c r="DO10" i="10" s="1"/>
  <c r="DX10" i="10"/>
  <c r="BE10" i="10" s="1"/>
  <c r="FA37" i="10"/>
  <c r="CI10" i="10"/>
  <c r="CJ10" i="10" s="1"/>
  <c r="CK10" i="10" s="1"/>
  <c r="FD36" i="10"/>
  <c r="CD28" i="1"/>
  <c r="CE28" i="1" s="1"/>
  <c r="CF28" i="1" s="1"/>
  <c r="CV28" i="1" s="1"/>
  <c r="BR28" i="1"/>
  <c r="BS28" i="1" s="1"/>
  <c r="BW28" i="1" s="1"/>
  <c r="D54" i="7"/>
  <c r="EC28" i="1"/>
  <c r="ED28" i="1" s="1"/>
  <c r="EE28" i="1"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L28" i="10" l="1"/>
  <c r="CL10" i="10"/>
  <c r="BV28" i="10"/>
  <c r="CD28" i="10"/>
  <c r="CR28" i="10" s="1"/>
  <c r="BU28" i="10"/>
  <c r="BX28" i="10"/>
  <c r="CB28" i="10"/>
  <c r="CH28" i="10" s="1"/>
  <c r="CQ28" i="10" s="1"/>
  <c r="CS10" i="10"/>
  <c r="CT10" i="10" s="1"/>
  <c r="FB37" i="10"/>
  <c r="EJ10" i="10"/>
  <c r="EQ39" i="10" s="1"/>
  <c r="DJ10" i="10"/>
  <c r="FE36" i="10"/>
  <c r="CI28" i="1"/>
  <c r="CJ28" i="1" s="1"/>
  <c r="CC28" i="1"/>
  <c r="CQ28" i="1" s="1"/>
  <c r="BU28" i="1"/>
  <c r="BT28" i="1"/>
  <c r="BX28" i="1" s="1"/>
  <c r="M83" i="2"/>
  <c r="G59" i="2"/>
  <c r="L195" i="2"/>
  <c r="G171" i="2"/>
  <c r="C48" i="5"/>
  <c r="C49" i="5" s="1"/>
  <c r="C50" i="5" s="1"/>
  <c r="C51" i="5" s="1"/>
  <c r="C52" i="5" s="1"/>
  <c r="C53" i="5" s="1"/>
  <c r="C54" i="5" s="1"/>
  <c r="C55" i="5" s="1"/>
  <c r="C56" i="5" s="1"/>
  <c r="C57" i="5" s="1"/>
  <c r="C58" i="5" s="1"/>
  <c r="C59" i="5" s="1"/>
  <c r="C60" i="5" s="1"/>
  <c r="C61" i="5" s="1"/>
  <c r="C62" i="5" s="1"/>
  <c r="C63" i="5" s="1"/>
  <c r="C64" i="5" s="1"/>
  <c r="C65" i="5" s="1"/>
  <c r="C66" i="5" s="1"/>
  <c r="C67" i="5" s="1"/>
  <c r="CK28" i="1" l="1"/>
  <c r="BY28" i="10"/>
  <c r="DC28" i="10"/>
  <c r="FF36" i="10"/>
  <c r="DL10" i="10"/>
  <c r="DP10" i="10" s="1"/>
  <c r="FC37" i="10"/>
  <c r="ER39" i="10"/>
  <c r="ES39" i="10" s="1"/>
  <c r="ET39" i="10" s="1"/>
  <c r="EU39" i="10" s="1"/>
  <c r="EV39" i="10" s="1"/>
  <c r="EQ58" i="10"/>
  <c r="EQ59" i="10" s="1"/>
  <c r="EL11" i="10" s="1"/>
  <c r="DB28" i="1"/>
  <c r="BY28" i="1"/>
  <c r="BZ28" i="1" s="1"/>
  <c r="CA28" i="1" s="1"/>
  <c r="CG28" i="1" s="1"/>
  <c r="CP28" i="1" s="1"/>
  <c r="CW28" i="1"/>
  <c r="CL28" i="1"/>
  <c r="B48" i="5"/>
  <c r="B49" i="5" s="1"/>
  <c r="B50" i="5" s="1"/>
  <c r="B51" i="5" s="1"/>
  <c r="B52" i="5" s="1"/>
  <c r="B53" i="5" s="1"/>
  <c r="B54" i="5" s="1"/>
  <c r="B55" i="5" s="1"/>
  <c r="B56" i="5" s="1"/>
  <c r="B57" i="5" s="1"/>
  <c r="B58" i="5" s="1"/>
  <c r="B59" i="5" s="1"/>
  <c r="B60" i="5" s="1"/>
  <c r="B61" i="5" s="1"/>
  <c r="B62" i="5" s="1"/>
  <c r="B63" i="5" s="1"/>
  <c r="B64" i="5" s="1"/>
  <c r="B65" i="5" s="1"/>
  <c r="B66" i="5" s="1"/>
  <c r="B67" i="5" s="1"/>
  <c r="CU10" i="10"/>
  <c r="CX28" i="10" l="1"/>
  <c r="CM28" i="10"/>
  <c r="BZ28" i="10"/>
  <c r="BW10" i="10"/>
  <c r="BF10" i="10"/>
  <c r="DY12" i="10"/>
  <c r="DR10" i="10"/>
  <c r="DS10" i="10" s="1"/>
  <c r="CV10" i="10"/>
  <c r="FD37" i="10"/>
  <c r="EW39" i="10"/>
  <c r="EX39" i="10" s="1"/>
  <c r="EY39" i="10" s="1"/>
  <c r="EZ39" i="10" s="1"/>
  <c r="FA39" i="10" s="1"/>
  <c r="FB39" i="10" s="1"/>
  <c r="FC39" i="10" s="1"/>
  <c r="FD39" i="10" s="1"/>
  <c r="FE39" i="10" s="1"/>
  <c r="FF39" i="10" s="1"/>
  <c r="FG39" i="10" s="1"/>
  <c r="FH39" i="10" s="1"/>
  <c r="EV57" i="10"/>
  <c r="EK15" i="10" s="1"/>
  <c r="DK10" i="10"/>
  <c r="FG36" i="10"/>
  <c r="F13" i="5"/>
  <c r="D20" i="5"/>
  <c r="D21" i="5"/>
  <c r="D22" i="5"/>
  <c r="D23" i="5"/>
  <c r="D19" i="5"/>
  <c r="F19" i="5" s="1"/>
  <c r="DT10" i="10" l="1"/>
  <c r="BC10" i="10" s="1"/>
  <c r="DF11" i="10"/>
  <c r="FE37" i="10"/>
  <c r="EB12" i="10"/>
  <c r="FH36" i="10"/>
  <c r="F20" i="5"/>
  <c r="F21" i="5" s="1"/>
  <c r="F22" i="5" s="1"/>
  <c r="F23" i="5" s="1"/>
  <c r="BG12" i="10" l="1"/>
  <c r="K24" i="10" s="1"/>
  <c r="BD12" i="10"/>
  <c r="K23" i="10" s="1"/>
  <c r="FF37" i="10"/>
  <c r="DG11" i="10"/>
  <c r="DH11" i="10" s="1"/>
  <c r="DE11" i="10" s="1"/>
  <c r="DV11" i="10"/>
  <c r="DW11" i="10" s="1"/>
  <c r="DA11" i="10"/>
  <c r="DB11" i="10" s="1"/>
  <c r="DD11" i="10" s="1"/>
  <c r="CC11" i="10"/>
  <c r="BB11" i="10"/>
  <c r="J22" i="10" s="1"/>
  <c r="C13" i="5"/>
  <c r="D24" i="5" s="1"/>
  <c r="F24" i="5" s="1"/>
  <c r="EG11" i="10" l="1"/>
  <c r="EH11" i="10" s="1"/>
  <c r="DN11" i="10" s="1"/>
  <c r="DO11" i="10" s="1"/>
  <c r="DX11" i="10"/>
  <c r="BE11" i="10" s="1"/>
  <c r="FG37" i="10"/>
  <c r="CI11" i="10"/>
  <c r="CJ11" i="10" s="1"/>
  <c r="CK11" i="10" s="1"/>
  <c r="D28" i="5"/>
  <c r="D25" i="5"/>
  <c r="F25" i="5" s="1"/>
  <c r="D29" i="5"/>
  <c r="D26" i="5"/>
  <c r="D30" i="5"/>
  <c r="D27" i="5"/>
  <c r="CL11" i="10" l="1"/>
  <c r="EJ11" i="10"/>
  <c r="ER40" i="10" s="1"/>
  <c r="DJ11" i="10"/>
  <c r="FH37" i="10"/>
  <c r="CS11" i="10"/>
  <c r="CT11" i="10" s="1"/>
  <c r="F26" i="5"/>
  <c r="F27" i="5" s="1"/>
  <c r="F28" i="5" s="1"/>
  <c r="F29" i="5" s="1"/>
  <c r="F30" i="5" s="1"/>
  <c r="ES40" i="10" l="1"/>
  <c r="ET40" i="10" s="1"/>
  <c r="EU40" i="10" s="1"/>
  <c r="EV40" i="10" s="1"/>
  <c r="EW40" i="10" s="1"/>
  <c r="ER58" i="10"/>
  <c r="ER59" i="10" s="1"/>
  <c r="EL12" i="10" s="1"/>
  <c r="DL11" i="10"/>
  <c r="DP11" i="10" s="1"/>
  <c r="F20" i="2"/>
  <c r="CU11" i="10"/>
  <c r="BW11" i="10" l="1"/>
  <c r="BF11" i="10"/>
  <c r="DY13" i="10"/>
  <c r="DR11" i="10"/>
  <c r="DS11" i="10" s="1"/>
  <c r="DK11" i="10"/>
  <c r="CV11" i="10"/>
  <c r="EX40" i="10"/>
  <c r="EY40" i="10" s="1"/>
  <c r="EZ40" i="10" s="1"/>
  <c r="FA40" i="10" s="1"/>
  <c r="FB40" i="10" s="1"/>
  <c r="FC40" i="10" s="1"/>
  <c r="FD40" i="10" s="1"/>
  <c r="FE40" i="10" s="1"/>
  <c r="FF40" i="10" s="1"/>
  <c r="FG40" i="10" s="1"/>
  <c r="FH40" i="10" s="1"/>
  <c r="EW57" i="10"/>
  <c r="EK16" i="10"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10" l="1"/>
  <c r="DT11" i="10"/>
  <c r="BC11" i="10" s="1"/>
  <c r="EB13" i="10"/>
  <c r="G55" i="2"/>
  <c r="G56" i="2" s="1"/>
  <c r="EI4" i="1"/>
  <c r="BA4" i="1"/>
  <c r="DF4" i="1"/>
  <c r="DG4" i="1" s="1"/>
  <c r="CZ4" i="1"/>
  <c r="DA4" i="1" s="1"/>
  <c r="DC4" i="1" s="1"/>
  <c r="C30" i="11" s="1"/>
  <c r="CB4" i="1"/>
  <c r="CH4" i="1" s="1"/>
  <c r="DU4" i="1"/>
  <c r="DV4" i="1" s="1"/>
  <c r="DW4" i="1" s="1"/>
  <c r="EJ33" i="1"/>
  <c r="EJ58" i="1" s="1"/>
  <c r="EJ59" i="1" s="1"/>
  <c r="EK5" i="1" s="1"/>
  <c r="BD4" i="1" l="1"/>
  <c r="DV12" i="10"/>
  <c r="DW12" i="10" s="1"/>
  <c r="DA12" i="10"/>
  <c r="CC12" i="10"/>
  <c r="DG12" i="10"/>
  <c r="DH12" i="10" s="1"/>
  <c r="BB12" i="10"/>
  <c r="K22" i="10" s="1"/>
  <c r="BD13" i="10"/>
  <c r="L23" i="10" s="1"/>
  <c r="BG13" i="10"/>
  <c r="L24" i="10" s="1"/>
  <c r="EK33" i="1"/>
  <c r="EL33" i="1" s="1"/>
  <c r="EM33" i="1" s="1"/>
  <c r="EN33" i="1" s="1"/>
  <c r="EO33" i="1" s="1"/>
  <c r="CR4" i="1"/>
  <c r="CS4" i="1" s="1"/>
  <c r="CT4" i="1" s="1"/>
  <c r="DX6" i="1" s="1"/>
  <c r="DH4" i="1"/>
  <c r="DI4" i="1" s="1"/>
  <c r="BE4" i="1" l="1"/>
  <c r="DB12" i="10"/>
  <c r="DD12" i="10" s="1"/>
  <c r="CI12" i="10"/>
  <c r="CJ12" i="10" s="1"/>
  <c r="CK12" i="10" s="1"/>
  <c r="EG12" i="10"/>
  <c r="EH12" i="10" s="1"/>
  <c r="DN12" i="10" s="1"/>
  <c r="DO12" i="10" s="1"/>
  <c r="DX12" i="10"/>
  <c r="BE12" i="10" s="1"/>
  <c r="BV4" i="1"/>
  <c r="EO57" i="1"/>
  <c r="EJ9" i="1" s="1"/>
  <c r="EP33" i="1"/>
  <c r="CU4" i="1"/>
  <c r="DK4" i="1"/>
  <c r="DO4" i="1" s="1"/>
  <c r="DQ4" i="1" s="1"/>
  <c r="G31" i="11" s="1"/>
  <c r="CL12" i="10" l="1"/>
  <c r="DE12" i="10"/>
  <c r="EJ12" i="10" s="1"/>
  <c r="ES41" i="10" s="1"/>
  <c r="CS12" i="10"/>
  <c r="CT12" i="10" s="1"/>
  <c r="DJ4" i="1"/>
  <c r="DR4" i="1"/>
  <c r="EQ33" i="1"/>
  <c r="DJ12" i="10" l="1"/>
  <c r="DL12" i="10" s="1"/>
  <c r="DP12" i="10" s="1"/>
  <c r="ET41" i="10"/>
  <c r="EU41" i="10" s="1"/>
  <c r="EV41" i="10" s="1"/>
  <c r="EW41" i="10" s="1"/>
  <c r="EX41" i="10" s="1"/>
  <c r="ES58" i="10"/>
  <c r="ES59" i="10" s="1"/>
  <c r="EL13" i="10" s="1"/>
  <c r="DE5" i="1"/>
  <c r="DS4" i="1"/>
  <c r="BB4" i="1" s="1"/>
  <c r="ER33" i="1"/>
  <c r="CU12" i="10"/>
  <c r="DF5" i="1" l="1"/>
  <c r="DG5" i="1" s="1"/>
  <c r="E31" i="11"/>
  <c r="DR12" i="10"/>
  <c r="DS12" i="10" s="1"/>
  <c r="BW12" i="10"/>
  <c r="BF12" i="10"/>
  <c r="DY14" i="10"/>
  <c r="DK12" i="10"/>
  <c r="EY41" i="10"/>
  <c r="EZ41" i="10" s="1"/>
  <c r="FA41" i="10" s="1"/>
  <c r="FB41" i="10" s="1"/>
  <c r="FC41" i="10" s="1"/>
  <c r="FD41" i="10" s="1"/>
  <c r="FE41" i="10" s="1"/>
  <c r="FF41" i="10" s="1"/>
  <c r="FG41" i="10" s="1"/>
  <c r="FH41" i="10" s="1"/>
  <c r="EX57" i="10"/>
  <c r="EK17" i="10" s="1"/>
  <c r="CV12" i="10"/>
  <c r="ES33" i="1"/>
  <c r="BA5" i="1"/>
  <c r="CZ5" i="1"/>
  <c r="DA5" i="1" s="1"/>
  <c r="DC5" i="1" s="1"/>
  <c r="C31" i="11" s="1"/>
  <c r="DU5" i="1"/>
  <c r="DV5" i="1" s="1"/>
  <c r="CB5" i="1"/>
  <c r="D22" i="1" l="1"/>
  <c r="F31" i="11"/>
  <c r="H31" i="11" s="1"/>
  <c r="DT12" i="10"/>
  <c r="BC12" i="10" s="1"/>
  <c r="DF13" i="10"/>
  <c r="EB14" i="10"/>
  <c r="C31" i="7"/>
  <c r="DH5" i="1"/>
  <c r="EI5" i="1" s="1"/>
  <c r="EK34" i="1" s="1"/>
  <c r="EK58" i="1" s="1"/>
  <c r="EK59" i="1" s="1"/>
  <c r="EK6" i="1" s="1"/>
  <c r="DW5" i="1"/>
  <c r="EF5" i="1"/>
  <c r="EG5" i="1" s="1"/>
  <c r="DM5" i="1" s="1"/>
  <c r="CH5" i="1"/>
  <c r="CR5" i="1" s="1"/>
  <c r="CS5" i="1" s="1"/>
  <c r="CT5" i="1" s="1"/>
  <c r="DX7" i="1" s="1"/>
  <c r="ET33" i="1"/>
  <c r="BD5" i="1" l="1"/>
  <c r="DY6" i="1"/>
  <c r="BG14" i="10"/>
  <c r="M24" i="10" s="1"/>
  <c r="BD14" i="10"/>
  <c r="M23" i="10" s="1"/>
  <c r="DG13" i="10"/>
  <c r="DH13" i="10" s="1"/>
  <c r="CC13" i="10"/>
  <c r="DV13" i="10"/>
  <c r="DW13" i="10" s="1"/>
  <c r="DA13" i="10"/>
  <c r="DB13" i="10" s="1"/>
  <c r="BB13" i="10"/>
  <c r="L22" i="10" s="1"/>
  <c r="EL34" i="1"/>
  <c r="EM34" i="1" s="1"/>
  <c r="DI5" i="1"/>
  <c r="DK5" i="1" s="1"/>
  <c r="DN5" i="1"/>
  <c r="EU33" i="1"/>
  <c r="CU5" i="1"/>
  <c r="EA6" i="1" l="1"/>
  <c r="DE13" i="10"/>
  <c r="DD13" i="10"/>
  <c r="CI13" i="10"/>
  <c r="CJ13" i="10" s="1"/>
  <c r="CK13" i="10" s="1"/>
  <c r="EG13" i="10"/>
  <c r="EH13" i="10" s="1"/>
  <c r="DN13" i="10" s="1"/>
  <c r="DO13" i="10" s="1"/>
  <c r="DX13" i="10"/>
  <c r="BE13" i="10" s="1"/>
  <c r="DO5" i="1"/>
  <c r="DQ5" i="1" s="1"/>
  <c r="G32" i="11" s="1"/>
  <c r="EV33" i="1"/>
  <c r="BE5" i="1"/>
  <c r="BV5" i="1"/>
  <c r="DJ5" i="1"/>
  <c r="EN34" i="1"/>
  <c r="CL13" i="10" l="1"/>
  <c r="CS13" i="10"/>
  <c r="CT13" i="10" s="1"/>
  <c r="CU13" i="10" s="1"/>
  <c r="EJ13" i="10"/>
  <c r="ET42" i="10" s="1"/>
  <c r="DJ13" i="10"/>
  <c r="DR5" i="1"/>
  <c r="DS5" i="1" s="1"/>
  <c r="BB5" i="1" s="1"/>
  <c r="EO34" i="1"/>
  <c r="EW33" i="1"/>
  <c r="CV13" i="10" l="1"/>
  <c r="EU42" i="10"/>
  <c r="EV42" i="10" s="1"/>
  <c r="EW42" i="10" s="1"/>
  <c r="EX42" i="10" s="1"/>
  <c r="EY42" i="10" s="1"/>
  <c r="ET58" i="10"/>
  <c r="ET59" i="10" s="1"/>
  <c r="EL14" i="10" s="1"/>
  <c r="DL13" i="10"/>
  <c r="DP13" i="10" s="1"/>
  <c r="BW13" i="10"/>
  <c r="BF13" i="10"/>
  <c r="DY15" i="10"/>
  <c r="DE6" i="1"/>
  <c r="E32" i="11" s="1"/>
  <c r="EP34" i="1"/>
  <c r="EX33" i="1"/>
  <c r="DU6" i="1" l="1"/>
  <c r="DV6" i="1" s="1"/>
  <c r="DF6" i="1"/>
  <c r="DG6" i="1" s="1"/>
  <c r="DR13" i="10"/>
  <c r="DS13" i="10" s="1"/>
  <c r="EZ42" i="10"/>
  <c r="FA42" i="10" s="1"/>
  <c r="FB42" i="10" s="1"/>
  <c r="FC42" i="10" s="1"/>
  <c r="FD42" i="10" s="1"/>
  <c r="FE42" i="10" s="1"/>
  <c r="FF42" i="10" s="1"/>
  <c r="FG42" i="10" s="1"/>
  <c r="FH42" i="10" s="1"/>
  <c r="EY57" i="10"/>
  <c r="EK18" i="10" s="1"/>
  <c r="EB15" i="10"/>
  <c r="DK13" i="10"/>
  <c r="CB6" i="1"/>
  <c r="CH6" i="1" s="1"/>
  <c r="CZ6" i="1"/>
  <c r="DA6" i="1" s="1"/>
  <c r="DC6" i="1" s="1"/>
  <c r="C32" i="11" s="1"/>
  <c r="EY33" i="1"/>
  <c r="EQ34" i="1"/>
  <c r="EP57" i="1"/>
  <c r="EJ10" i="1" s="1"/>
  <c r="EF6" i="1" l="1"/>
  <c r="EG6" i="1" s="1"/>
  <c r="DM6" i="1" s="1"/>
  <c r="DN6" i="1" s="1"/>
  <c r="DW6" i="1"/>
  <c r="DF14" i="10"/>
  <c r="DT13" i="10"/>
  <c r="BC13" i="10" s="1"/>
  <c r="BD15" i="10"/>
  <c r="N23" i="10" s="1"/>
  <c r="BG15" i="10"/>
  <c r="N24" i="10" s="1"/>
  <c r="DH6" i="1"/>
  <c r="EI6" i="1" s="1"/>
  <c r="EL35" i="1" s="1"/>
  <c r="CR6" i="1"/>
  <c r="CS6" i="1" s="1"/>
  <c r="CT6" i="1" s="1"/>
  <c r="DX8" i="1" s="1"/>
  <c r="CI6" i="1"/>
  <c r="CJ6" i="1" s="1"/>
  <c r="BC6" i="1"/>
  <c r="E23" i="1" s="1"/>
  <c r="BF6" i="1"/>
  <c r="E24" i="1" s="1"/>
  <c r="BA6" i="1"/>
  <c r="EZ33" i="1"/>
  <c r="ER34" i="1"/>
  <c r="BD6" i="1" l="1"/>
  <c r="DY7" i="1"/>
  <c r="E22" i="1"/>
  <c r="F32" i="11"/>
  <c r="H32" i="11" s="1"/>
  <c r="CK6" i="1"/>
  <c r="CC14" i="10"/>
  <c r="DV14" i="10"/>
  <c r="DW14" i="10" s="1"/>
  <c r="DA14" i="10"/>
  <c r="DB14" i="10" s="1"/>
  <c r="DG14" i="10"/>
  <c r="DH14" i="10" s="1"/>
  <c r="BB14" i="10"/>
  <c r="M22" i="10" s="1"/>
  <c r="C32" i="7"/>
  <c r="DI6" i="1"/>
  <c r="DK6" i="1" s="1"/>
  <c r="DO6" i="1" s="1"/>
  <c r="EM35" i="1"/>
  <c r="EL58" i="1"/>
  <c r="EL59" i="1" s="1"/>
  <c r="EK7" i="1" s="1"/>
  <c r="ES34" i="1"/>
  <c r="FA33" i="1"/>
  <c r="EA7" i="1" l="1"/>
  <c r="DQ6" i="1"/>
  <c r="CU6" i="1"/>
  <c r="DE14" i="10"/>
  <c r="EJ14" i="10" s="1"/>
  <c r="EU43" i="10" s="1"/>
  <c r="EU58" i="10" s="1"/>
  <c r="EU59" i="10" s="1"/>
  <c r="EL15" i="10" s="1"/>
  <c r="DD14" i="10"/>
  <c r="EG14" i="10"/>
  <c r="EH14" i="10" s="1"/>
  <c r="DN14" i="10" s="1"/>
  <c r="DO14" i="10" s="1"/>
  <c r="DX14" i="10"/>
  <c r="BE14" i="10" s="1"/>
  <c r="CI14" i="10"/>
  <c r="CJ14" i="10" s="1"/>
  <c r="CK14" i="10" s="1"/>
  <c r="BV6" i="1"/>
  <c r="BE6" i="1"/>
  <c r="EN35" i="1"/>
  <c r="FB33" i="1"/>
  <c r="ET34" i="1"/>
  <c r="DJ6" i="1"/>
  <c r="DR6" i="1" l="1"/>
  <c r="DS6" i="1" s="1"/>
  <c r="BB6" i="1" s="1"/>
  <c r="G33" i="11"/>
  <c r="CL14" i="10"/>
  <c r="EV43" i="10"/>
  <c r="EW43" i="10" s="1"/>
  <c r="EX43" i="10" s="1"/>
  <c r="EY43" i="10" s="1"/>
  <c r="EZ43" i="10" s="1"/>
  <c r="EZ57" i="10" s="1"/>
  <c r="EK19" i="10" s="1"/>
  <c r="DJ14" i="10"/>
  <c r="DL14" i="10" s="1"/>
  <c r="DP14" i="10" s="1"/>
  <c r="CS14" i="10"/>
  <c r="CT14" i="10" s="1"/>
  <c r="FC33" i="1"/>
  <c r="EU34" i="1"/>
  <c r="EO35" i="1"/>
  <c r="DE7" i="1" l="1"/>
  <c r="DF7" i="1" s="1"/>
  <c r="DG7" i="1" s="1"/>
  <c r="FA43" i="10"/>
  <c r="FB43" i="10" s="1"/>
  <c r="FC43" i="10" s="1"/>
  <c r="FD43" i="10" s="1"/>
  <c r="FE43" i="10" s="1"/>
  <c r="FF43" i="10" s="1"/>
  <c r="FG43" i="10" s="1"/>
  <c r="FH43" i="10" s="1"/>
  <c r="DR14" i="10"/>
  <c r="DS14" i="10" s="1"/>
  <c r="DK14" i="10"/>
  <c r="FD33" i="1"/>
  <c r="EV34" i="1"/>
  <c r="EP35" i="1"/>
  <c r="CU14" i="10"/>
  <c r="DU7" i="1" l="1"/>
  <c r="DV7" i="1" s="1"/>
  <c r="CZ7" i="1"/>
  <c r="DA7" i="1" s="1"/>
  <c r="DC7" i="1" s="1"/>
  <c r="C33" i="11" s="1"/>
  <c r="CB7" i="1"/>
  <c r="CH7" i="1" s="1"/>
  <c r="E33" i="11"/>
  <c r="CV14" i="10"/>
  <c r="DT14" i="10"/>
  <c r="BC14" i="10" s="1"/>
  <c r="DF15" i="10"/>
  <c r="BW14" i="10"/>
  <c r="BF14" i="10"/>
  <c r="DY16" i="10"/>
  <c r="FE33" i="1"/>
  <c r="EW34" i="1"/>
  <c r="EQ35" i="1"/>
  <c r="EF7" i="1" l="1"/>
  <c r="EG7" i="1" s="1"/>
  <c r="DM7" i="1" s="1"/>
  <c r="DN7" i="1" s="1"/>
  <c r="DW7" i="1"/>
  <c r="DH7" i="1"/>
  <c r="EI7" i="1" s="1"/>
  <c r="EM36" i="1" s="1"/>
  <c r="DG15" i="10"/>
  <c r="DH15" i="10" s="1"/>
  <c r="DV15" i="10"/>
  <c r="DW15" i="10" s="1"/>
  <c r="DA15" i="10"/>
  <c r="CC15" i="10"/>
  <c r="BB15" i="10"/>
  <c r="N22" i="10" s="1"/>
  <c r="EB16" i="10"/>
  <c r="CR7" i="1"/>
  <c r="CS7" i="1" s="1"/>
  <c r="CT7" i="1" s="1"/>
  <c r="DX9" i="1" s="1"/>
  <c r="CI7" i="1"/>
  <c r="CJ7" i="1" s="1"/>
  <c r="BC7" i="1"/>
  <c r="F23" i="1" s="1"/>
  <c r="BF7" i="1"/>
  <c r="F24" i="1" s="1"/>
  <c r="BA7" i="1"/>
  <c r="EX34" i="1"/>
  <c r="ER35" i="1"/>
  <c r="EQ57" i="1"/>
  <c r="EJ11" i="1" s="1"/>
  <c r="FF33" i="1"/>
  <c r="BD7" i="1" l="1"/>
  <c r="DY8" i="1"/>
  <c r="DI7" i="1"/>
  <c r="DK7" i="1" s="1"/>
  <c r="DO7" i="1" s="1"/>
  <c r="F22" i="1"/>
  <c r="F33" i="11"/>
  <c r="H33" i="11" s="1"/>
  <c r="CK7" i="1"/>
  <c r="DB15" i="10"/>
  <c r="DD15" i="10" s="1"/>
  <c r="EG15" i="10"/>
  <c r="EH15" i="10" s="1"/>
  <c r="DN15" i="10" s="1"/>
  <c r="DO15" i="10" s="1"/>
  <c r="DX15" i="10"/>
  <c r="BE15" i="10" s="1"/>
  <c r="BG16" i="10"/>
  <c r="O24" i="10" s="1"/>
  <c r="BD16" i="10"/>
  <c r="O23" i="10" s="1"/>
  <c r="CI15" i="10"/>
  <c r="CJ15" i="10" s="1"/>
  <c r="CK15" i="10" s="1"/>
  <c r="C33" i="7"/>
  <c r="ES35" i="1"/>
  <c r="EN36" i="1"/>
  <c r="EM58" i="1"/>
  <c r="EM59" i="1" s="1"/>
  <c r="EK8" i="1" s="1"/>
  <c r="BV7" i="1"/>
  <c r="BE7" i="1"/>
  <c r="FG33" i="1"/>
  <c r="EY34" i="1"/>
  <c r="CU7" i="1"/>
  <c r="EA8" i="1" l="1"/>
  <c r="DQ7" i="1"/>
  <c r="CL15" i="10"/>
  <c r="DE15" i="10"/>
  <c r="DJ15" i="10" s="1"/>
  <c r="CS15" i="10"/>
  <c r="CT15" i="10" s="1"/>
  <c r="EZ34" i="1"/>
  <c r="ET35" i="1"/>
  <c r="EO36" i="1"/>
  <c r="DJ7" i="1"/>
  <c r="DR7" i="1" l="1"/>
  <c r="DE8" i="1" s="1"/>
  <c r="G34" i="11"/>
  <c r="EJ15" i="10"/>
  <c r="EV44" i="10" s="1"/>
  <c r="EW44" i="10" s="1"/>
  <c r="EX44" i="10" s="1"/>
  <c r="EY44" i="10" s="1"/>
  <c r="EZ44" i="10" s="1"/>
  <c r="FA44" i="10" s="1"/>
  <c r="DL15" i="10"/>
  <c r="DP15" i="10" s="1"/>
  <c r="EU35" i="1"/>
  <c r="EP36" i="1"/>
  <c r="FA34" i="1"/>
  <c r="CU15" i="10"/>
  <c r="DS7" i="1" l="1"/>
  <c r="BB7" i="1" s="1"/>
  <c r="DF8" i="1"/>
  <c r="DG8" i="1" s="1"/>
  <c r="E34" i="11"/>
  <c r="CV15" i="10"/>
  <c r="EV58" i="10"/>
  <c r="EV59" i="10" s="1"/>
  <c r="EL16" i="10" s="1"/>
  <c r="DR15" i="10"/>
  <c r="DS15" i="10" s="1"/>
  <c r="DK15" i="10"/>
  <c r="FB44" i="10"/>
  <c r="FC44" i="10" s="1"/>
  <c r="FD44" i="10" s="1"/>
  <c r="FE44" i="10" s="1"/>
  <c r="FF44" i="10" s="1"/>
  <c r="FG44" i="10" s="1"/>
  <c r="FH44" i="10" s="1"/>
  <c r="FA57" i="10"/>
  <c r="EK20" i="10" s="1"/>
  <c r="BW15" i="10"/>
  <c r="BF15" i="10"/>
  <c r="DY17" i="10"/>
  <c r="EQ36" i="1"/>
  <c r="CB8" i="1"/>
  <c r="CZ8" i="1"/>
  <c r="DA8" i="1" s="1"/>
  <c r="DC8" i="1" s="1"/>
  <c r="C34" i="11" s="1"/>
  <c r="DU8" i="1"/>
  <c r="DV8" i="1" s="1"/>
  <c r="EV35" i="1"/>
  <c r="FB34" i="1"/>
  <c r="DF16" i="10" l="1"/>
  <c r="DT15" i="10"/>
  <c r="BC15" i="10" s="1"/>
  <c r="EB17" i="10"/>
  <c r="DH8" i="1"/>
  <c r="EI8" i="1" s="1"/>
  <c r="EN37" i="1" s="1"/>
  <c r="EO37" i="1" s="1"/>
  <c r="FC34" i="1"/>
  <c r="CH8" i="1"/>
  <c r="EF8" i="1"/>
  <c r="EG8" i="1" s="1"/>
  <c r="DM8" i="1" s="1"/>
  <c r="DW8" i="1"/>
  <c r="DY9" i="1" s="1"/>
  <c r="EW35" i="1"/>
  <c r="ER36" i="1"/>
  <c r="DY10" i="1" l="1"/>
  <c r="DY11" i="1" s="1"/>
  <c r="DY12" i="1" s="1"/>
  <c r="DY13" i="1" s="1"/>
  <c r="DY14" i="1" s="1"/>
  <c r="DY15" i="1" s="1"/>
  <c r="DY16" i="1" s="1"/>
  <c r="DY17" i="1" s="1"/>
  <c r="DY18" i="1" s="1"/>
  <c r="DY19" i="1" s="1"/>
  <c r="DY20" i="1" s="1"/>
  <c r="DY21" i="1" s="1"/>
  <c r="DY22" i="1" s="1"/>
  <c r="DY23" i="1" s="1"/>
  <c r="DY24" i="1" s="1"/>
  <c r="EA9" i="1"/>
  <c r="BD17" i="10"/>
  <c r="P23" i="10" s="1"/>
  <c r="BG17" i="10"/>
  <c r="P24" i="10" s="1"/>
  <c r="DV16" i="10"/>
  <c r="DW16" i="10" s="1"/>
  <c r="DA16" i="10"/>
  <c r="DB16" i="10" s="1"/>
  <c r="DD16" i="10" s="1"/>
  <c r="CC16" i="10"/>
  <c r="DG16" i="10"/>
  <c r="DH16" i="10" s="1"/>
  <c r="BB16" i="10"/>
  <c r="O22" i="10" s="1"/>
  <c r="CR8" i="1"/>
  <c r="CS8" i="1" s="1"/>
  <c r="CT8" i="1" s="1"/>
  <c r="DX10" i="1" s="1"/>
  <c r="CI8" i="1"/>
  <c r="CJ8" i="1" s="1"/>
  <c r="EN58" i="1"/>
  <c r="EN59" i="1" s="1"/>
  <c r="EK9" i="1" s="1"/>
  <c r="BD8" i="1"/>
  <c r="DI8" i="1"/>
  <c r="DK8" i="1" s="1"/>
  <c r="BC8" i="1"/>
  <c r="G23" i="1" s="1"/>
  <c r="BF8" i="1"/>
  <c r="G24" i="1" s="1"/>
  <c r="BA8" i="1"/>
  <c r="ES36" i="1"/>
  <c r="ER57" i="1"/>
  <c r="EJ12" i="1" s="1"/>
  <c r="EX35" i="1"/>
  <c r="DN8" i="1"/>
  <c r="EP37" i="1"/>
  <c r="FD34" i="1"/>
  <c r="EA10" i="1" l="1"/>
  <c r="G22" i="1"/>
  <c r="F34" i="11"/>
  <c r="H34" i="11" s="1"/>
  <c r="CK8" i="1"/>
  <c r="DE16" i="10"/>
  <c r="EJ16" i="10" s="1"/>
  <c r="EW45" i="10" s="1"/>
  <c r="EX45" i="10" s="1"/>
  <c r="EY45" i="10" s="1"/>
  <c r="EZ45" i="10" s="1"/>
  <c r="FA45" i="10" s="1"/>
  <c r="FB45" i="10" s="1"/>
  <c r="EG16" i="10"/>
  <c r="EH16" i="10" s="1"/>
  <c r="DN16" i="10" s="1"/>
  <c r="DO16" i="10" s="1"/>
  <c r="DX16" i="10"/>
  <c r="BE16" i="10" s="1"/>
  <c r="CI16" i="10"/>
  <c r="CJ16" i="10" s="1"/>
  <c r="CK16" i="10" s="1"/>
  <c r="C34" i="7"/>
  <c r="DO8" i="1"/>
  <c r="EY35" i="1"/>
  <c r="FE34" i="1"/>
  <c r="ET36" i="1"/>
  <c r="BV8" i="1"/>
  <c r="BE8" i="1"/>
  <c r="DJ8" i="1"/>
  <c r="EQ37" i="1"/>
  <c r="CU8" i="1"/>
  <c r="DQ8" i="1" l="1"/>
  <c r="CL16" i="10"/>
  <c r="EW58" i="10"/>
  <c r="EW59" i="10" s="1"/>
  <c r="EL17" i="10" s="1"/>
  <c r="DJ16" i="10"/>
  <c r="DL16" i="10" s="1"/>
  <c r="DP16" i="10" s="1"/>
  <c r="CS16" i="10"/>
  <c r="CT16" i="10" s="1"/>
  <c r="FC45" i="10"/>
  <c r="FD45" i="10" s="1"/>
  <c r="FE45" i="10" s="1"/>
  <c r="FF45" i="10" s="1"/>
  <c r="FG45" i="10" s="1"/>
  <c r="FH45" i="10" s="1"/>
  <c r="FB57" i="10"/>
  <c r="EK21" i="10" s="1"/>
  <c r="FF34" i="1"/>
  <c r="EU36" i="1"/>
  <c r="ER37" i="1"/>
  <c r="EZ35" i="1"/>
  <c r="DR8" i="1" l="1"/>
  <c r="DE9" i="1" s="1"/>
  <c r="E35" i="11" s="1"/>
  <c r="G35" i="11"/>
  <c r="DR16" i="10"/>
  <c r="DS16" i="10" s="1"/>
  <c r="DK16" i="10"/>
  <c r="EV36" i="1"/>
  <c r="FG34" i="1"/>
  <c r="ES37" i="1"/>
  <c r="FA35" i="1"/>
  <c r="CU16" i="10"/>
  <c r="DS8" i="1" l="1"/>
  <c r="BB8" i="1" s="1"/>
  <c r="DU9" i="1"/>
  <c r="DV9" i="1" s="1"/>
  <c r="DF9" i="1"/>
  <c r="DG9" i="1" s="1"/>
  <c r="CV16" i="10"/>
  <c r="DF17" i="10"/>
  <c r="DT16" i="10"/>
  <c r="BC16" i="10" s="1"/>
  <c r="BW16" i="10"/>
  <c r="BF16" i="10"/>
  <c r="DY18" i="10"/>
  <c r="CZ9" i="1"/>
  <c r="DA9" i="1" s="1"/>
  <c r="DC9" i="1" s="1"/>
  <c r="C35" i="11" s="1"/>
  <c r="CB9" i="1"/>
  <c r="CH9" i="1" s="1"/>
  <c r="FB35" i="1"/>
  <c r="ET37" i="1"/>
  <c r="ES57" i="1"/>
  <c r="EJ13" i="1" s="1"/>
  <c r="EW36" i="1"/>
  <c r="DW9" i="1" l="1"/>
  <c r="BD9" i="1" s="1"/>
  <c r="EF9" i="1"/>
  <c r="EG9" i="1" s="1"/>
  <c r="DM9" i="1" s="1"/>
  <c r="DN9" i="1" s="1"/>
  <c r="EB18" i="10"/>
  <c r="DV17" i="10"/>
  <c r="DW17" i="10" s="1"/>
  <c r="DA17" i="10"/>
  <c r="DB17" i="10" s="1"/>
  <c r="DD17" i="10" s="1"/>
  <c r="DG17" i="10"/>
  <c r="DH17" i="10" s="1"/>
  <c r="CC17" i="10"/>
  <c r="BB17" i="10"/>
  <c r="P22" i="10" s="1"/>
  <c r="DH9" i="1"/>
  <c r="EI9" i="1" s="1"/>
  <c r="EO38" i="1" s="1"/>
  <c r="CR9" i="1"/>
  <c r="CS9" i="1" s="1"/>
  <c r="CT9" i="1" s="1"/>
  <c r="DX11" i="1" s="1"/>
  <c r="CI9" i="1"/>
  <c r="CJ9" i="1" s="1"/>
  <c r="BF9" i="1"/>
  <c r="H24" i="1" s="1"/>
  <c r="BC9" i="1"/>
  <c r="H23" i="1" s="1"/>
  <c r="BA9" i="1"/>
  <c r="EU37" i="1"/>
  <c r="FC35" i="1"/>
  <c r="EX36" i="1"/>
  <c r="EA11" i="1" l="1"/>
  <c r="H22" i="1"/>
  <c r="F35" i="11"/>
  <c r="H35" i="11" s="1"/>
  <c r="CK9" i="1"/>
  <c r="DE17" i="10"/>
  <c r="EJ17" i="10" s="1"/>
  <c r="EX46" i="10" s="1"/>
  <c r="EY46" i="10" s="1"/>
  <c r="EZ46" i="10" s="1"/>
  <c r="FA46" i="10" s="1"/>
  <c r="FB46" i="10" s="1"/>
  <c r="FC46" i="10" s="1"/>
  <c r="CI17" i="10"/>
  <c r="CJ17" i="10" s="1"/>
  <c r="CK17" i="10" s="1"/>
  <c r="BG18" i="10"/>
  <c r="Q24" i="10" s="1"/>
  <c r="BD18" i="10"/>
  <c r="Q23" i="10" s="1"/>
  <c r="EG17" i="10"/>
  <c r="EH17" i="10" s="1"/>
  <c r="DN17" i="10" s="1"/>
  <c r="DO17" i="10" s="1"/>
  <c r="DX17" i="10"/>
  <c r="BE17" i="10" s="1"/>
  <c r="C35" i="7"/>
  <c r="DI9" i="1"/>
  <c r="DK9" i="1" s="1"/>
  <c r="DO9" i="1" s="1"/>
  <c r="EY36" i="1"/>
  <c r="BV9" i="1"/>
  <c r="BE9" i="1"/>
  <c r="EV37" i="1"/>
  <c r="EP38" i="1"/>
  <c r="EQ38" i="1" s="1"/>
  <c r="ER38" i="1" s="1"/>
  <c r="ES38" i="1" s="1"/>
  <c r="ET38" i="1" s="1"/>
  <c r="EO58" i="1"/>
  <c r="EO59" i="1" s="1"/>
  <c r="EK10" i="1" s="1"/>
  <c r="CU9" i="1"/>
  <c r="FD35" i="1"/>
  <c r="DQ9" i="1" l="1"/>
  <c r="CL17" i="10"/>
  <c r="EX58" i="10"/>
  <c r="EX59" i="10" s="1"/>
  <c r="EL18" i="10" s="1"/>
  <c r="DJ17" i="10"/>
  <c r="DL17" i="10" s="1"/>
  <c r="DP17" i="10" s="1"/>
  <c r="FD46" i="10"/>
  <c r="FE46" i="10" s="1"/>
  <c r="FF46" i="10" s="1"/>
  <c r="FG46" i="10" s="1"/>
  <c r="FH46" i="10" s="1"/>
  <c r="FC57" i="10"/>
  <c r="EK22" i="10" s="1"/>
  <c r="CS17" i="10"/>
  <c r="CT17" i="10" s="1"/>
  <c r="EU38" i="1"/>
  <c r="EV38" i="1" s="1"/>
  <c r="EW38" i="1" s="1"/>
  <c r="EX38" i="1" s="1"/>
  <c r="EY38" i="1" s="1"/>
  <c r="EZ38" i="1" s="1"/>
  <c r="FA38" i="1" s="1"/>
  <c r="FB38" i="1" s="1"/>
  <c r="FC38" i="1" s="1"/>
  <c r="FD38" i="1" s="1"/>
  <c r="FE38" i="1" s="1"/>
  <c r="FF38" i="1" s="1"/>
  <c r="FG38" i="1" s="1"/>
  <c r="ET57" i="1"/>
  <c r="EJ14" i="1" s="1"/>
  <c r="EW37" i="1"/>
  <c r="DJ9" i="1"/>
  <c r="FE35" i="1"/>
  <c r="EZ36" i="1"/>
  <c r="DR9" i="1" l="1"/>
  <c r="DS9" i="1" s="1"/>
  <c r="BB9" i="1" s="1"/>
  <c r="G36" i="11"/>
  <c r="DR17" i="10"/>
  <c r="DS17" i="10" s="1"/>
  <c r="DK17" i="10"/>
  <c r="DE10" i="1"/>
  <c r="FA36" i="1"/>
  <c r="FF35" i="1"/>
  <c r="EX37" i="1"/>
  <c r="CU17" i="10"/>
  <c r="DF10" i="1" l="1"/>
  <c r="DG10" i="1" s="1"/>
  <c r="E36" i="11"/>
  <c r="BW17" i="10"/>
  <c r="BF17" i="10"/>
  <c r="DY19" i="10"/>
  <c r="CV17" i="10"/>
  <c r="DF18" i="10"/>
  <c r="DT17" i="10"/>
  <c r="BC17" i="10" s="1"/>
  <c r="EY37" i="1"/>
  <c r="FG35" i="1"/>
  <c r="FB36" i="1"/>
  <c r="CZ10" i="1"/>
  <c r="DA10" i="1" s="1"/>
  <c r="DC10" i="1" s="1"/>
  <c r="C36" i="11" s="1"/>
  <c r="DU10" i="1"/>
  <c r="DV10" i="1" s="1"/>
  <c r="CB10" i="1"/>
  <c r="EB19" i="10" l="1"/>
  <c r="CC18" i="10"/>
  <c r="DV18" i="10"/>
  <c r="DW18" i="10" s="1"/>
  <c r="DG18" i="10"/>
  <c r="DH18" i="10" s="1"/>
  <c r="DA18" i="10"/>
  <c r="DB18" i="10" s="1"/>
  <c r="DD18" i="10" s="1"/>
  <c r="BB18" i="10"/>
  <c r="Q22" i="10" s="1"/>
  <c r="DH10" i="1"/>
  <c r="CH10" i="1"/>
  <c r="CI10" i="1" s="1"/>
  <c r="CJ10" i="1" s="1"/>
  <c r="EZ37" i="1"/>
  <c r="DW10" i="1"/>
  <c r="EF10" i="1"/>
  <c r="EG10" i="1" s="1"/>
  <c r="DM10" i="1" s="1"/>
  <c r="DN10" i="1" s="1"/>
  <c r="FC36" i="1"/>
  <c r="DE18" i="10" l="1"/>
  <c r="CK10" i="1"/>
  <c r="DX18" i="10"/>
  <c r="BE18" i="10" s="1"/>
  <c r="EG18" i="10"/>
  <c r="EH18" i="10" s="1"/>
  <c r="DN18" i="10" s="1"/>
  <c r="DO18" i="10" s="1"/>
  <c r="CI18" i="10"/>
  <c r="CJ18" i="10" s="1"/>
  <c r="CK18" i="10" s="1"/>
  <c r="BD19" i="10"/>
  <c r="R23" i="10" s="1"/>
  <c r="BG19" i="10"/>
  <c r="R24" i="10" s="1"/>
  <c r="BD10" i="1"/>
  <c r="EI10" i="1"/>
  <c r="EP39" i="1" s="1"/>
  <c r="DI10" i="1"/>
  <c r="DK10" i="1" s="1"/>
  <c r="DO10" i="1" s="1"/>
  <c r="BF10" i="1"/>
  <c r="I24" i="1" s="1"/>
  <c r="BC10" i="1"/>
  <c r="I23" i="1" s="1"/>
  <c r="BA10" i="1"/>
  <c r="FD36" i="1"/>
  <c r="FA37" i="1"/>
  <c r="CR10" i="1"/>
  <c r="CS10" i="1" s="1"/>
  <c r="CT10" i="1" s="1"/>
  <c r="DX12" i="1" s="1"/>
  <c r="EA12" i="1" l="1"/>
  <c r="I22" i="1"/>
  <c r="F36" i="11"/>
  <c r="H36" i="11" s="1"/>
  <c r="DQ10" i="1"/>
  <c r="CL18" i="10"/>
  <c r="CS18" i="10"/>
  <c r="CT18" i="10" s="1"/>
  <c r="EJ18" i="10"/>
  <c r="EY47" i="10" s="1"/>
  <c r="DJ18" i="10"/>
  <c r="C36" i="7"/>
  <c r="EQ39" i="1"/>
  <c r="ER39" i="1" s="1"/>
  <c r="ES39" i="1" s="1"/>
  <c r="ET39" i="1" s="1"/>
  <c r="EU39" i="1" s="1"/>
  <c r="EP58" i="1"/>
  <c r="EP59" i="1" s="1"/>
  <c r="EK11" i="1" s="1"/>
  <c r="BC11" i="1"/>
  <c r="J23" i="1" s="1"/>
  <c r="BF11" i="1"/>
  <c r="J24" i="1" s="1"/>
  <c r="FE36" i="1"/>
  <c r="DJ10" i="1"/>
  <c r="FB37" i="1"/>
  <c r="DR10" i="1" l="1"/>
  <c r="DS10" i="1" s="1"/>
  <c r="BB10" i="1" s="1"/>
  <c r="G37" i="11"/>
  <c r="DL18" i="10"/>
  <c r="DP18" i="10" s="1"/>
  <c r="EZ47" i="10"/>
  <c r="FA47" i="10" s="1"/>
  <c r="FB47" i="10" s="1"/>
  <c r="FC47" i="10" s="1"/>
  <c r="FD47" i="10" s="1"/>
  <c r="EY58" i="10"/>
  <c r="EY59" i="10" s="1"/>
  <c r="EL19" i="10" s="1"/>
  <c r="EV39" i="1"/>
  <c r="EW39" i="1" s="1"/>
  <c r="EX39" i="1" s="1"/>
  <c r="EY39" i="1" s="1"/>
  <c r="EZ39" i="1" s="1"/>
  <c r="FA39" i="1" s="1"/>
  <c r="FB39" i="1" s="1"/>
  <c r="FC39" i="1" s="1"/>
  <c r="FD39" i="1" s="1"/>
  <c r="FE39" i="1" s="1"/>
  <c r="FF39" i="1" s="1"/>
  <c r="FG39" i="1" s="1"/>
  <c r="EU57" i="1"/>
  <c r="EJ15" i="1" s="1"/>
  <c r="BV10" i="1"/>
  <c r="BE10" i="1"/>
  <c r="CU10" i="1"/>
  <c r="FF36" i="1"/>
  <c r="FC37" i="1"/>
  <c r="CU18" i="10"/>
  <c r="DE11" i="1" l="1"/>
  <c r="DF11" i="1" s="1"/>
  <c r="DG11" i="1" s="1"/>
  <c r="E37" i="11"/>
  <c r="CV18" i="10"/>
  <c r="FE47" i="10"/>
  <c r="FF47" i="10" s="1"/>
  <c r="FG47" i="10" s="1"/>
  <c r="FH47" i="10" s="1"/>
  <c r="FD57" i="10"/>
  <c r="EK23" i="10" s="1"/>
  <c r="DR18" i="10"/>
  <c r="DS18" i="10" s="1"/>
  <c r="BW18" i="10"/>
  <c r="BF18" i="10"/>
  <c r="DY20" i="10"/>
  <c r="DK18" i="10"/>
  <c r="FD37" i="1"/>
  <c r="CB11" i="1"/>
  <c r="DU11" i="1"/>
  <c r="DV11" i="1" s="1"/>
  <c r="CZ11" i="1"/>
  <c r="DA11" i="1" s="1"/>
  <c r="DC11" i="1" s="1"/>
  <c r="C37" i="11" s="1"/>
  <c r="BA11" i="1"/>
  <c r="FG36" i="1"/>
  <c r="J22" i="1" l="1"/>
  <c r="F37" i="11"/>
  <c r="H37" i="11" s="1"/>
  <c r="DF19" i="10"/>
  <c r="DT18" i="10"/>
  <c r="BC18" i="10" s="1"/>
  <c r="EB20" i="10"/>
  <c r="C37" i="7"/>
  <c r="DW11" i="1"/>
  <c r="BD11" i="1" s="1"/>
  <c r="EF11" i="1"/>
  <c r="EG11" i="1" s="1"/>
  <c r="DM11" i="1" s="1"/>
  <c r="DN11" i="1" s="1"/>
  <c r="FE37" i="1"/>
  <c r="CH11" i="1"/>
  <c r="CI11" i="1" s="1"/>
  <c r="CJ11" i="1" s="1"/>
  <c r="DH11" i="1"/>
  <c r="BC12" i="1"/>
  <c r="K23" i="1" s="1"/>
  <c r="BF12" i="1"/>
  <c r="K24" i="1" s="1"/>
  <c r="CK11" i="1" l="1"/>
  <c r="BD20" i="10"/>
  <c r="S23" i="10" s="1"/>
  <c r="BG20" i="10"/>
  <c r="S24" i="10" s="1"/>
  <c r="CC19" i="10"/>
  <c r="DV19" i="10"/>
  <c r="DW19" i="10" s="1"/>
  <c r="DA19" i="10"/>
  <c r="DB19" i="10" s="1"/>
  <c r="DD19" i="10" s="1"/>
  <c r="DG19" i="10"/>
  <c r="DH19" i="10" s="1"/>
  <c r="BB19" i="10"/>
  <c r="R22" i="10" s="1"/>
  <c r="CR11" i="1"/>
  <c r="CS11" i="1" s="1"/>
  <c r="CT11" i="1" s="1"/>
  <c r="DX13" i="1" s="1"/>
  <c r="EI11" i="1"/>
  <c r="EQ40" i="1" s="1"/>
  <c r="DI11" i="1"/>
  <c r="FF37" i="1"/>
  <c r="EA13" i="1" l="1"/>
  <c r="DE19" i="10"/>
  <c r="EJ19" i="10" s="1"/>
  <c r="EZ48" i="10" s="1"/>
  <c r="EG19" i="10"/>
  <c r="EH19" i="10" s="1"/>
  <c r="DN19" i="10" s="1"/>
  <c r="DO19" i="10" s="1"/>
  <c r="DX19" i="10"/>
  <c r="BE19" i="10" s="1"/>
  <c r="CI19" i="10"/>
  <c r="CJ19" i="10" s="1"/>
  <c r="CK19" i="10" s="1"/>
  <c r="DK11" i="1"/>
  <c r="DO11" i="1" s="1"/>
  <c r="ER40" i="1"/>
  <c r="ES40" i="1" s="1"/>
  <c r="ET40" i="1" s="1"/>
  <c r="EU40" i="1" s="1"/>
  <c r="EV40" i="1" s="1"/>
  <c r="EQ58" i="1"/>
  <c r="EQ59" i="1" s="1"/>
  <c r="EK12" i="1" s="1"/>
  <c r="BV11" i="1"/>
  <c r="BE11" i="1"/>
  <c r="FG37" i="1"/>
  <c r="CU11" i="1"/>
  <c r="DQ11" i="1" l="1"/>
  <c r="CL19" i="10"/>
  <c r="DJ19" i="10"/>
  <c r="DL19" i="10" s="1"/>
  <c r="DP19" i="10" s="1"/>
  <c r="FA48" i="10"/>
  <c r="FB48" i="10" s="1"/>
  <c r="FC48" i="10" s="1"/>
  <c r="FD48" i="10" s="1"/>
  <c r="FE48" i="10" s="1"/>
  <c r="FF48" i="10" s="1"/>
  <c r="FG48" i="10" s="1"/>
  <c r="FH48" i="10" s="1"/>
  <c r="EZ58" i="10"/>
  <c r="EZ59" i="10" s="1"/>
  <c r="EL20" i="10" s="1"/>
  <c r="CS19" i="10"/>
  <c r="CT19" i="10" s="1"/>
  <c r="CU19" i="10" s="1"/>
  <c r="EW40" i="1"/>
  <c r="EX40" i="1" s="1"/>
  <c r="EY40" i="1" s="1"/>
  <c r="EZ40" i="1" s="1"/>
  <c r="FA40" i="1" s="1"/>
  <c r="FB40" i="1" s="1"/>
  <c r="FC40" i="1" s="1"/>
  <c r="FD40" i="1" s="1"/>
  <c r="FE40" i="1" s="1"/>
  <c r="FF40" i="1" s="1"/>
  <c r="FG40" i="1" s="1"/>
  <c r="EV57" i="1"/>
  <c r="EJ16" i="1" s="1"/>
  <c r="DJ11" i="1"/>
  <c r="DR11" i="1" l="1"/>
  <c r="DE12" i="1" s="1"/>
  <c r="G38" i="11"/>
  <c r="FE57" i="10"/>
  <c r="EK24" i="10" s="1"/>
  <c r="DR19" i="10"/>
  <c r="DS19" i="10" s="1"/>
  <c r="BW19" i="10"/>
  <c r="BF19" i="10"/>
  <c r="DY21" i="10"/>
  <c r="DK19" i="10"/>
  <c r="CV19" i="10"/>
  <c r="BF13" i="1"/>
  <c r="L24" i="1" s="1"/>
  <c r="BC13" i="1"/>
  <c r="L23" i="1" s="1"/>
  <c r="DS11" i="1" l="1"/>
  <c r="BB11" i="1" s="1"/>
  <c r="DF12" i="1"/>
  <c r="DG12" i="1" s="1"/>
  <c r="E38" i="11"/>
  <c r="DT19" i="10"/>
  <c r="BC19" i="10" s="1"/>
  <c r="DF20" i="10"/>
  <c r="EB21" i="10"/>
  <c r="DU12" i="1"/>
  <c r="DV12" i="1" s="1"/>
  <c r="CB12" i="1"/>
  <c r="CZ12" i="1"/>
  <c r="DA12" i="1" s="1"/>
  <c r="DC12" i="1" s="1"/>
  <c r="C38" i="11" s="1"/>
  <c r="BA12" i="1"/>
  <c r="K22" i="1" l="1"/>
  <c r="F38" i="11"/>
  <c r="H38" i="11" s="1"/>
  <c r="BD21" i="10"/>
  <c r="T23" i="10" s="1"/>
  <c r="BG21" i="10"/>
  <c r="T24" i="10" s="1"/>
  <c r="DG20" i="10"/>
  <c r="DH20" i="10" s="1"/>
  <c r="CC20" i="10"/>
  <c r="DV20" i="10"/>
  <c r="DW20" i="10" s="1"/>
  <c r="DA20" i="10"/>
  <c r="DB20" i="10" s="1"/>
  <c r="DD20" i="10" s="1"/>
  <c r="BB20" i="10"/>
  <c r="S22" i="10" s="1"/>
  <c r="C38" i="7"/>
  <c r="DH12" i="1"/>
  <c r="CH12" i="1"/>
  <c r="CI12" i="1" s="1"/>
  <c r="CJ12" i="1" s="1"/>
  <c r="DW12" i="1"/>
  <c r="BD12" i="1" s="1"/>
  <c r="EF12" i="1"/>
  <c r="EG12" i="1" s="1"/>
  <c r="DM12" i="1" s="1"/>
  <c r="DN12" i="1" s="1"/>
  <c r="CK12" i="1" l="1"/>
  <c r="DE20" i="10"/>
  <c r="CI20" i="10"/>
  <c r="CJ20" i="10" s="1"/>
  <c r="CK20" i="10" s="1"/>
  <c r="EG20" i="10"/>
  <c r="EH20" i="10" s="1"/>
  <c r="DN20" i="10" s="1"/>
  <c r="DO20" i="10" s="1"/>
  <c r="DX20" i="10"/>
  <c r="BE20" i="10" s="1"/>
  <c r="CR12" i="1"/>
  <c r="CS12" i="1" s="1"/>
  <c r="CT12" i="1" s="1"/>
  <c r="DX14" i="1" s="1"/>
  <c r="EI12" i="1"/>
  <c r="ER41" i="1" s="1"/>
  <c r="DI12" i="1"/>
  <c r="EA14" i="1" l="1"/>
  <c r="CL20" i="10"/>
  <c r="CS20" i="10"/>
  <c r="CT20" i="10" s="1"/>
  <c r="EJ20" i="10"/>
  <c r="FA49" i="10" s="1"/>
  <c r="DJ20" i="10"/>
  <c r="DK12" i="1"/>
  <c r="DO12" i="1" s="1"/>
  <c r="ES41" i="1"/>
  <c r="ET41" i="1" s="1"/>
  <c r="EU41" i="1" s="1"/>
  <c r="EV41" i="1" s="1"/>
  <c r="EW41" i="1" s="1"/>
  <c r="ER58" i="1"/>
  <c r="ER59" i="1" s="1"/>
  <c r="EK13" i="1" s="1"/>
  <c r="DQ12" i="1" l="1"/>
  <c r="FB49" i="10"/>
  <c r="FC49" i="10" s="1"/>
  <c r="FD49" i="10" s="1"/>
  <c r="FE49" i="10" s="1"/>
  <c r="FF49" i="10" s="1"/>
  <c r="FA58" i="10"/>
  <c r="FA59" i="10" s="1"/>
  <c r="EL21" i="10" s="1"/>
  <c r="DL20" i="10"/>
  <c r="DP20" i="10" s="1"/>
  <c r="EX41" i="1"/>
  <c r="EY41" i="1" s="1"/>
  <c r="EZ41" i="1" s="1"/>
  <c r="FA41" i="1" s="1"/>
  <c r="FB41" i="1" s="1"/>
  <c r="FC41" i="1" s="1"/>
  <c r="FD41" i="1" s="1"/>
  <c r="FE41" i="1" s="1"/>
  <c r="FF41" i="1" s="1"/>
  <c r="FG41" i="1" s="1"/>
  <c r="EW57" i="1"/>
  <c r="EJ17" i="1" s="1"/>
  <c r="BV12" i="1"/>
  <c r="BE12" i="1"/>
  <c r="CU12" i="1"/>
  <c r="DJ12" i="1"/>
  <c r="CU20" i="10"/>
  <c r="DR12" i="1" l="1"/>
  <c r="DE13" i="1" s="1"/>
  <c r="G39" i="11"/>
  <c r="BW20" i="10"/>
  <c r="BF20" i="10"/>
  <c r="DY22" i="10"/>
  <c r="DR20" i="10"/>
  <c r="DS20" i="10" s="1"/>
  <c r="DK20" i="10"/>
  <c r="CV20" i="10"/>
  <c r="FG49" i="10"/>
  <c r="FH49" i="10" s="1"/>
  <c r="FF57" i="10"/>
  <c r="EK25" i="10" s="1"/>
  <c r="DF13" i="1" l="1"/>
  <c r="DG13" i="1" s="1"/>
  <c r="E39" i="11"/>
  <c r="DS12" i="1"/>
  <c r="BB12" i="1" s="1"/>
  <c r="EB22" i="10"/>
  <c r="DF21" i="10"/>
  <c r="DT20" i="10"/>
  <c r="BC20" i="10" s="1"/>
  <c r="DU13" i="1"/>
  <c r="DV13" i="1" s="1"/>
  <c r="CB13" i="1"/>
  <c r="CZ13" i="1"/>
  <c r="DA13" i="1" s="1"/>
  <c r="DC13" i="1" s="1"/>
  <c r="C39" i="11" s="1"/>
  <c r="BA13" i="1"/>
  <c r="BC14" i="1"/>
  <c r="M23" i="1" s="1"/>
  <c r="BF14" i="1"/>
  <c r="M24" i="1" s="1"/>
  <c r="L22" i="1" l="1"/>
  <c r="F39" i="11"/>
  <c r="H39" i="11" s="1"/>
  <c r="BG22" i="10"/>
  <c r="U24" i="10" s="1"/>
  <c r="BD22" i="10"/>
  <c r="U23" i="10" s="1"/>
  <c r="DG21" i="10"/>
  <c r="DH21" i="10" s="1"/>
  <c r="DV21" i="10"/>
  <c r="DW21" i="10" s="1"/>
  <c r="DA21" i="10"/>
  <c r="DB21" i="10" s="1"/>
  <c r="DD21" i="10" s="1"/>
  <c r="CC21" i="10"/>
  <c r="BB21" i="10"/>
  <c r="C39" i="7"/>
  <c r="CH13" i="1"/>
  <c r="CI13" i="1" s="1"/>
  <c r="CJ13" i="1" s="1"/>
  <c r="DW13" i="1"/>
  <c r="BD13" i="1" s="1"/>
  <c r="EF13" i="1"/>
  <c r="EG13" i="1" s="1"/>
  <c r="DM13" i="1" s="1"/>
  <c r="DN13" i="1" s="1"/>
  <c r="DH13" i="1"/>
  <c r="CK13" i="1" l="1"/>
  <c r="DE21" i="10"/>
  <c r="DX21" i="10"/>
  <c r="EG21" i="10"/>
  <c r="EH21" i="10" s="1"/>
  <c r="DN21" i="10" s="1"/>
  <c r="DO21" i="10" s="1"/>
  <c r="AZ55" i="10"/>
  <c r="T22" i="10"/>
  <c r="AW24" i="10"/>
  <c r="CI21" i="10"/>
  <c r="CJ21" i="10" s="1"/>
  <c r="CK21" i="10" s="1"/>
  <c r="EI13" i="1"/>
  <c r="ES42" i="1" s="1"/>
  <c r="DI13" i="1"/>
  <c r="CR13" i="1"/>
  <c r="CS13" i="1" s="1"/>
  <c r="CT13" i="1" s="1"/>
  <c r="DX15" i="1" s="1"/>
  <c r="EA15" i="1" l="1"/>
  <c r="CL21" i="10"/>
  <c r="EJ21" i="10"/>
  <c r="FB50" i="10" s="1"/>
  <c r="DJ21" i="10"/>
  <c r="CS21" i="10"/>
  <c r="CT21" i="10" s="1"/>
  <c r="EA28" i="10"/>
  <c r="EA27" i="10"/>
  <c r="EA24" i="10"/>
  <c r="EA26" i="10"/>
  <c r="EA25" i="10"/>
  <c r="BE21" i="10"/>
  <c r="DK13" i="1"/>
  <c r="DO13" i="1" s="1"/>
  <c r="ET42" i="1"/>
  <c r="EU42" i="1" s="1"/>
  <c r="EV42" i="1" s="1"/>
  <c r="EW42" i="1" s="1"/>
  <c r="EX42" i="1" s="1"/>
  <c r="ES58" i="1"/>
  <c r="ES59" i="1" s="1"/>
  <c r="EK14" i="1" s="1"/>
  <c r="DQ13" i="1" l="1"/>
  <c r="DL21" i="10"/>
  <c r="DP21" i="10" s="1"/>
  <c r="FC50" i="10"/>
  <c r="FD50" i="10" s="1"/>
  <c r="FE50" i="10" s="1"/>
  <c r="FF50" i="10" s="1"/>
  <c r="FG50" i="10" s="1"/>
  <c r="FB58" i="10"/>
  <c r="FB59" i="10" s="1"/>
  <c r="EL22" i="10" s="1"/>
  <c r="DJ13" i="1"/>
  <c r="BV13" i="1"/>
  <c r="BE13" i="1"/>
  <c r="EY42" i="1"/>
  <c r="EZ42" i="1" s="1"/>
  <c r="FA42" i="1" s="1"/>
  <c r="FB42" i="1" s="1"/>
  <c r="FC42" i="1" s="1"/>
  <c r="FD42" i="1" s="1"/>
  <c r="FE42" i="1" s="1"/>
  <c r="FF42" i="1" s="1"/>
  <c r="FG42" i="1" s="1"/>
  <c r="EX57" i="1"/>
  <c r="EJ18" i="1" s="1"/>
  <c r="CU13" i="1"/>
  <c r="CU21" i="10"/>
  <c r="DR13" i="1" l="1"/>
  <c r="DE14" i="1" s="1"/>
  <c r="G40" i="11"/>
  <c r="CV21" i="10"/>
  <c r="DR21" i="10"/>
  <c r="DS21" i="10" s="1"/>
  <c r="DK21" i="10"/>
  <c r="FH50" i="10"/>
  <c r="FG57" i="10"/>
  <c r="EK26" i="10" s="1"/>
  <c r="BW21" i="10"/>
  <c r="BF21" i="10"/>
  <c r="DY23" i="10"/>
  <c r="DF14" i="1" l="1"/>
  <c r="DG14" i="1" s="1"/>
  <c r="E40" i="11"/>
  <c r="DS13" i="1"/>
  <c r="BB13" i="1" s="1"/>
  <c r="DF22" i="10"/>
  <c r="DT21" i="10"/>
  <c r="BC21" i="10" s="1"/>
  <c r="EB23" i="10"/>
  <c r="CB14" i="1"/>
  <c r="CZ14" i="1"/>
  <c r="DA14" i="1" s="1"/>
  <c r="DC14" i="1" s="1"/>
  <c r="C40" i="11" s="1"/>
  <c r="DU14" i="1"/>
  <c r="DV14" i="1" s="1"/>
  <c r="BA14" i="1"/>
  <c r="BF15" i="1"/>
  <c r="N24" i="1" s="1"/>
  <c r="BC15" i="1"/>
  <c r="N23" i="1" s="1"/>
  <c r="M22" i="1" l="1"/>
  <c r="F40" i="11"/>
  <c r="H40" i="11" s="1"/>
  <c r="BG23" i="10"/>
  <c r="V24" i="10" s="1"/>
  <c r="BD23" i="10"/>
  <c r="V23" i="10" s="1"/>
  <c r="DV22" i="10"/>
  <c r="DW22" i="10" s="1"/>
  <c r="DA22" i="10"/>
  <c r="DB22" i="10" s="1"/>
  <c r="DD22" i="10" s="1"/>
  <c r="CC22" i="10"/>
  <c r="DG22" i="10"/>
  <c r="DH22" i="10" s="1"/>
  <c r="BB22" i="10"/>
  <c r="U22" i="10" s="1"/>
  <c r="C40" i="7"/>
  <c r="DW14" i="1"/>
  <c r="BD14" i="1" s="1"/>
  <c r="EF14" i="1"/>
  <c r="EG14" i="1" s="1"/>
  <c r="DM14" i="1" s="1"/>
  <c r="DN14" i="1" s="1"/>
  <c r="CH14" i="1"/>
  <c r="CI14" i="1" s="1"/>
  <c r="CJ14" i="1" s="1"/>
  <c r="DH14" i="1"/>
  <c r="CK14" i="1" l="1"/>
  <c r="DE22" i="10"/>
  <c r="EJ22" i="10" s="1"/>
  <c r="FC51" i="10" s="1"/>
  <c r="FC58" i="10" s="1"/>
  <c r="FC59" i="10" s="1"/>
  <c r="EL23" i="10" s="1"/>
  <c r="EG22" i="10"/>
  <c r="EH22" i="10" s="1"/>
  <c r="DN22" i="10" s="1"/>
  <c r="DO22" i="10" s="1"/>
  <c r="DX22" i="10"/>
  <c r="BE22" i="10" s="1"/>
  <c r="CI22" i="10"/>
  <c r="CS22" i="10" s="1"/>
  <c r="CT22" i="10" s="1"/>
  <c r="CR14" i="1"/>
  <c r="CS14" i="1" s="1"/>
  <c r="CT14" i="1" s="1"/>
  <c r="DX16" i="1" s="1"/>
  <c r="EI14" i="1"/>
  <c r="ET43" i="1" s="1"/>
  <c r="DI14" i="1"/>
  <c r="EA16" i="1" l="1"/>
  <c r="FD51" i="10"/>
  <c r="FE51" i="10" s="1"/>
  <c r="FF51" i="10" s="1"/>
  <c r="FG51" i="10" s="1"/>
  <c r="FH51" i="10" s="1"/>
  <c r="FH57" i="10" s="1"/>
  <c r="EK27" i="10" s="1"/>
  <c r="DJ22" i="10"/>
  <c r="DL22" i="10" s="1"/>
  <c r="DK22" i="10" s="1"/>
  <c r="EU43" i="1"/>
  <c r="EV43" i="1" s="1"/>
  <c r="EW43" i="1" s="1"/>
  <c r="EX43" i="1" s="1"/>
  <c r="EY43" i="1" s="1"/>
  <c r="ET58" i="1"/>
  <c r="ET59" i="1" s="1"/>
  <c r="EK15" i="1" s="1"/>
  <c r="DK14" i="1"/>
  <c r="DO14" i="1" s="1"/>
  <c r="BV14" i="1"/>
  <c r="BE14" i="1"/>
  <c r="CU14" i="1"/>
  <c r="CU22" i="10"/>
  <c r="DQ14" i="1" l="1"/>
  <c r="DP22" i="10"/>
  <c r="DR22" i="10" s="1"/>
  <c r="DS22" i="10" s="1"/>
  <c r="EK28" i="10"/>
  <c r="BW22" i="10"/>
  <c r="BF22" i="10"/>
  <c r="DY24" i="10"/>
  <c r="CV22" i="10"/>
  <c r="DJ14" i="1"/>
  <c r="EZ43" i="1"/>
  <c r="FA43" i="1" s="1"/>
  <c r="FB43" i="1" s="1"/>
  <c r="FC43" i="1" s="1"/>
  <c r="FD43" i="1" s="1"/>
  <c r="FE43" i="1" s="1"/>
  <c r="FF43" i="1" s="1"/>
  <c r="FG43" i="1" s="1"/>
  <c r="EY57" i="1"/>
  <c r="EJ19" i="1" s="1"/>
  <c r="DR14" i="1" l="1"/>
  <c r="DE15" i="1" s="1"/>
  <c r="G41" i="11"/>
  <c r="DF23" i="10"/>
  <c r="DT22" i="10"/>
  <c r="BC22" i="10" s="1"/>
  <c r="BC16" i="1"/>
  <c r="O23" i="1" s="1"/>
  <c r="BF16" i="1"/>
  <c r="O24" i="1" s="1"/>
  <c r="DS14" i="1" l="1"/>
  <c r="BB14" i="1" s="1"/>
  <c r="DF15" i="1"/>
  <c r="DG15" i="1" s="1"/>
  <c r="E41" i="11"/>
  <c r="DV23" i="10"/>
  <c r="DW23" i="10" s="1"/>
  <c r="DA23" i="10"/>
  <c r="DB23" i="10" s="1"/>
  <c r="DD23" i="10" s="1"/>
  <c r="CC23" i="10"/>
  <c r="DG23" i="10"/>
  <c r="DH23" i="10" s="1"/>
  <c r="BB23" i="10"/>
  <c r="V22" i="10" s="1"/>
  <c r="CZ15" i="1"/>
  <c r="DA15" i="1" s="1"/>
  <c r="DC15" i="1" s="1"/>
  <c r="C41" i="11" s="1"/>
  <c r="DU15" i="1"/>
  <c r="DV15" i="1" s="1"/>
  <c r="CB15" i="1"/>
  <c r="BA15" i="1"/>
  <c r="N22" i="1" l="1"/>
  <c r="F41" i="11"/>
  <c r="H41" i="11" s="1"/>
  <c r="DE23" i="10"/>
  <c r="EJ23" i="10" s="1"/>
  <c r="FD52" i="10" s="1"/>
  <c r="FE52" i="10" s="1"/>
  <c r="FF52" i="10" s="1"/>
  <c r="FG52" i="10" s="1"/>
  <c r="FH52" i="10" s="1"/>
  <c r="EG23" i="10"/>
  <c r="EH23" i="10" s="1"/>
  <c r="DN23" i="10" s="1"/>
  <c r="DO23" i="10" s="1"/>
  <c r="DX23" i="10"/>
  <c r="BE23" i="10" s="1"/>
  <c r="CI23" i="10"/>
  <c r="CS23" i="10" s="1"/>
  <c r="CT23" i="10" s="1"/>
  <c r="C41" i="7"/>
  <c r="DH15" i="1"/>
  <c r="EI15" i="1" s="1"/>
  <c r="EU44" i="1" s="1"/>
  <c r="EV44" i="1" s="1"/>
  <c r="EW44" i="1" s="1"/>
  <c r="EX44" i="1" s="1"/>
  <c r="EY44" i="1" s="1"/>
  <c r="EZ44" i="1" s="1"/>
  <c r="CH15" i="1"/>
  <c r="CI15" i="1" s="1"/>
  <c r="CJ15" i="1" s="1"/>
  <c r="DW15" i="1"/>
  <c r="BD15" i="1" s="1"/>
  <c r="EF15" i="1"/>
  <c r="EG15" i="1" s="1"/>
  <c r="DM15" i="1" s="1"/>
  <c r="DN15" i="1" s="1"/>
  <c r="CK15" i="1" l="1"/>
  <c r="FD58" i="10"/>
  <c r="FD59" i="10" s="1"/>
  <c r="EL24" i="10" s="1"/>
  <c r="DJ23" i="10"/>
  <c r="DL23" i="10" s="1"/>
  <c r="DP23" i="10" s="1"/>
  <c r="DI15" i="1"/>
  <c r="DK15" i="1" s="1"/>
  <c r="DO15" i="1" s="1"/>
  <c r="EU58" i="1"/>
  <c r="EU59" i="1" s="1"/>
  <c r="EK16" i="1" s="1"/>
  <c r="CR15" i="1"/>
  <c r="CS15" i="1" s="1"/>
  <c r="CT15" i="1" s="1"/>
  <c r="DX17" i="1" s="1"/>
  <c r="FA44" i="1"/>
  <c r="FB44" i="1" s="1"/>
  <c r="FC44" i="1" s="1"/>
  <c r="FD44" i="1" s="1"/>
  <c r="FE44" i="1" s="1"/>
  <c r="FF44" i="1" s="1"/>
  <c r="FG44" i="1" s="1"/>
  <c r="EZ57" i="1"/>
  <c r="EJ20" i="1" s="1"/>
  <c r="CU23" i="10"/>
  <c r="EA17" i="1" l="1"/>
  <c r="DQ15" i="1"/>
  <c r="DY25" i="10"/>
  <c r="DK23" i="10"/>
  <c r="BW23" i="10"/>
  <c r="BF23" i="10"/>
  <c r="DR23" i="10"/>
  <c r="DS23" i="10" s="1"/>
  <c r="CV23" i="10"/>
  <c r="DJ15" i="1"/>
  <c r="DR15" i="1" l="1"/>
  <c r="DE16" i="1" s="1"/>
  <c r="G42" i="11"/>
  <c r="DF24" i="10"/>
  <c r="DT23" i="10"/>
  <c r="BC23" i="10" s="1"/>
  <c r="BV15" i="1"/>
  <c r="BE15" i="1"/>
  <c r="CU15" i="1"/>
  <c r="DS15" i="1" l="1"/>
  <c r="BB15" i="1" s="1"/>
  <c r="DF16" i="1"/>
  <c r="DG16" i="1" s="1"/>
  <c r="E42" i="11"/>
  <c r="CC24" i="10"/>
  <c r="DV24" i="10"/>
  <c r="DW24" i="10" s="1"/>
  <c r="DA24" i="10"/>
  <c r="DB24" i="10" s="1"/>
  <c r="DD24" i="10" s="1"/>
  <c r="DG24" i="10"/>
  <c r="DH24" i="10" s="1"/>
  <c r="CZ16" i="1"/>
  <c r="DA16" i="1" s="1"/>
  <c r="DC16" i="1" s="1"/>
  <c r="C42" i="11" s="1"/>
  <c r="DU16" i="1"/>
  <c r="DV16" i="1" s="1"/>
  <c r="CB16" i="1"/>
  <c r="BA16" i="1"/>
  <c r="O22" i="1" l="1"/>
  <c r="F42" i="11"/>
  <c r="H42" i="11" s="1"/>
  <c r="DE24" i="10"/>
  <c r="DX24" i="10"/>
  <c r="EG24" i="10"/>
  <c r="EH24" i="10" s="1"/>
  <c r="DN24" i="10" s="1"/>
  <c r="DO24" i="10" s="1"/>
  <c r="DZ24" i="10"/>
  <c r="CI24" i="10"/>
  <c r="CS24" i="10" s="1"/>
  <c r="CT24" i="10" s="1"/>
  <c r="C42" i="7"/>
  <c r="DH16" i="1"/>
  <c r="CH16" i="1"/>
  <c r="CI16" i="1" s="1"/>
  <c r="CJ16" i="1" s="1"/>
  <c r="EF16" i="1"/>
  <c r="EG16" i="1" s="1"/>
  <c r="DM16" i="1" s="1"/>
  <c r="DN16" i="1" s="1"/>
  <c r="DW16" i="1"/>
  <c r="BD16" i="1" s="1"/>
  <c r="BC17" i="1"/>
  <c r="P23" i="1" s="1"/>
  <c r="BF17" i="1"/>
  <c r="P24" i="1" s="1"/>
  <c r="CK16" i="1" l="1"/>
  <c r="EB24" i="10"/>
  <c r="EJ24" i="10"/>
  <c r="FE53" i="10" s="1"/>
  <c r="DJ24" i="10"/>
  <c r="CR16" i="1"/>
  <c r="CS16" i="1" s="1"/>
  <c r="CT16" i="1" s="1"/>
  <c r="DX18" i="1" s="1"/>
  <c r="EI16" i="1"/>
  <c r="EV45" i="1" s="1"/>
  <c r="DI16" i="1"/>
  <c r="CU24" i="10"/>
  <c r="EA18" i="1" l="1"/>
  <c r="BW24" i="10"/>
  <c r="DY26" i="10"/>
  <c r="BE24" i="10"/>
  <c r="BF24" i="10"/>
  <c r="BB24" i="10"/>
  <c r="W22" i="10" s="1"/>
  <c r="BG24" i="10"/>
  <c r="W24" i="10" s="1"/>
  <c r="BD24" i="10"/>
  <c r="W23" i="10" s="1"/>
  <c r="DL24" i="10"/>
  <c r="DP24" i="10" s="1"/>
  <c r="FF53" i="10"/>
  <c r="FG53" i="10" s="1"/>
  <c r="FH53" i="10" s="1"/>
  <c r="FE58" i="10"/>
  <c r="FE59" i="10" s="1"/>
  <c r="EL25" i="10" s="1"/>
  <c r="CV24" i="10"/>
  <c r="DK16" i="1"/>
  <c r="DO16" i="1" s="1"/>
  <c r="EW45" i="1"/>
  <c r="EX45" i="1" s="1"/>
  <c r="EY45" i="1" s="1"/>
  <c r="EZ45" i="1" s="1"/>
  <c r="FA45" i="1" s="1"/>
  <c r="EV58" i="1"/>
  <c r="EV59" i="1" s="1"/>
  <c r="EK17" i="1" s="1"/>
  <c r="DQ16" i="1" l="1"/>
  <c r="CU16" i="1"/>
  <c r="BV16" i="1"/>
  <c r="DR24" i="10"/>
  <c r="DS24" i="10" s="1"/>
  <c r="DK24" i="10"/>
  <c r="BE16" i="1"/>
  <c r="FB45" i="1"/>
  <c r="FC45" i="1" s="1"/>
  <c r="FD45" i="1" s="1"/>
  <c r="FE45" i="1" s="1"/>
  <c r="FF45" i="1" s="1"/>
  <c r="FG45" i="1" s="1"/>
  <c r="FA57" i="1"/>
  <c r="EJ21" i="1" s="1"/>
  <c r="DJ16" i="1"/>
  <c r="DR16" i="1" l="1"/>
  <c r="DE17" i="1" s="1"/>
  <c r="G43" i="11"/>
  <c r="DF25" i="10"/>
  <c r="DT24" i="10"/>
  <c r="BC24" i="10" s="1"/>
  <c r="BC18" i="1"/>
  <c r="Q23" i="1" s="1"/>
  <c r="BF18" i="1"/>
  <c r="Q24" i="1" s="1"/>
  <c r="DS16" i="1" l="1"/>
  <c r="BB16" i="1" s="1"/>
  <c r="DF17" i="1"/>
  <c r="DG17" i="1" s="1"/>
  <c r="E43" i="11"/>
  <c r="DV25" i="10"/>
  <c r="DW25" i="10" s="1"/>
  <c r="DZ25" i="10" s="1"/>
  <c r="DA25" i="10"/>
  <c r="DB25" i="10" s="1"/>
  <c r="DD25" i="10" s="1"/>
  <c r="CC25" i="10"/>
  <c r="DG25" i="10"/>
  <c r="DH25" i="10" s="1"/>
  <c r="CZ17" i="1"/>
  <c r="DA17" i="1" s="1"/>
  <c r="DC17" i="1" s="1"/>
  <c r="C43" i="11" s="1"/>
  <c r="CB17" i="1"/>
  <c r="DU17" i="1"/>
  <c r="DV17" i="1" s="1"/>
  <c r="BA17" i="1"/>
  <c r="P22" i="1" l="1"/>
  <c r="F43" i="11"/>
  <c r="H43" i="11" s="1"/>
  <c r="DE25" i="10"/>
  <c r="EJ25" i="10" s="1"/>
  <c r="FF54" i="10" s="1"/>
  <c r="FG54" i="10" s="1"/>
  <c r="FH54" i="10" s="1"/>
  <c r="EB25" i="10"/>
  <c r="CI25" i="10"/>
  <c r="CS25" i="10" s="1"/>
  <c r="CT25" i="10" s="1"/>
  <c r="DX25" i="10"/>
  <c r="EG25" i="10"/>
  <c r="EH25" i="10" s="1"/>
  <c r="DN25" i="10" s="1"/>
  <c r="DO25" i="10" s="1"/>
  <c r="C43" i="7"/>
  <c r="DW17" i="1"/>
  <c r="BD17" i="1" s="1"/>
  <c r="EF17" i="1"/>
  <c r="EG17" i="1" s="1"/>
  <c r="DM17" i="1" s="1"/>
  <c r="DN17" i="1" s="1"/>
  <c r="CH17" i="1"/>
  <c r="CI17" i="1" s="1"/>
  <c r="CJ17" i="1" s="1"/>
  <c r="DH17" i="1"/>
  <c r="CK17" i="1" l="1"/>
  <c r="FF58" i="10"/>
  <c r="FF59" i="10" s="1"/>
  <c r="EL26" i="10" s="1"/>
  <c r="BB25" i="10"/>
  <c r="BE25" i="10"/>
  <c r="BD25" i="10"/>
  <c r="X23" i="10" s="1"/>
  <c r="BF25" i="10"/>
  <c r="BG25" i="10"/>
  <c r="X24" i="10" s="1"/>
  <c r="DJ25" i="10"/>
  <c r="DL25" i="10" s="1"/>
  <c r="DP25" i="10" s="1"/>
  <c r="CR17" i="1"/>
  <c r="CS17" i="1" s="1"/>
  <c r="CT17" i="1" s="1"/>
  <c r="DX19" i="1" s="1"/>
  <c r="EI17" i="1"/>
  <c r="EW46" i="1" s="1"/>
  <c r="DI17" i="1"/>
  <c r="CU25" i="10"/>
  <c r="EA19" i="1" l="1"/>
  <c r="BW25" i="10"/>
  <c r="DY27" i="10"/>
  <c r="X22" i="10"/>
  <c r="DK25" i="10"/>
  <c r="DR25" i="10"/>
  <c r="DS25" i="10" s="1"/>
  <c r="CV25" i="10"/>
  <c r="DK17" i="1"/>
  <c r="DO17" i="1" s="1"/>
  <c r="EX46" i="1"/>
  <c r="EY46" i="1" s="1"/>
  <c r="EZ46" i="1" s="1"/>
  <c r="FA46" i="1" s="1"/>
  <c r="FB46" i="1" s="1"/>
  <c r="EW58" i="1"/>
  <c r="EW59" i="1" s="1"/>
  <c r="EK18" i="1" s="1"/>
  <c r="CU17" i="1"/>
  <c r="DQ17" i="1" l="1"/>
  <c r="DF26" i="10"/>
  <c r="DT25" i="10"/>
  <c r="BC25" i="10" s="1"/>
  <c r="FC46" i="1"/>
  <c r="FD46" i="1" s="1"/>
  <c r="FE46" i="1" s="1"/>
  <c r="FF46" i="1" s="1"/>
  <c r="FG46" i="1" s="1"/>
  <c r="FB57" i="1"/>
  <c r="EJ22" i="1" s="1"/>
  <c r="BV17" i="1"/>
  <c r="BE17" i="1"/>
  <c r="DJ17" i="1"/>
  <c r="DR17" i="1" l="1"/>
  <c r="DE18" i="1" s="1"/>
  <c r="G44" i="11"/>
  <c r="CC26" i="10"/>
  <c r="DV26" i="10"/>
  <c r="DW26" i="10" s="1"/>
  <c r="DZ26" i="10" s="1"/>
  <c r="DA26" i="10"/>
  <c r="DB26" i="10" s="1"/>
  <c r="DD26" i="10" s="1"/>
  <c r="DG26" i="10"/>
  <c r="DH26" i="10" s="1"/>
  <c r="DF18" i="1" l="1"/>
  <c r="DG18" i="1" s="1"/>
  <c r="E44" i="11"/>
  <c r="DS17" i="1"/>
  <c r="BB17" i="1" s="1"/>
  <c r="DE26" i="10"/>
  <c r="EB26" i="10"/>
  <c r="DX26" i="10"/>
  <c r="EG26" i="10"/>
  <c r="EH26" i="10" s="1"/>
  <c r="DN26" i="10" s="1"/>
  <c r="DO26" i="10" s="1"/>
  <c r="CI26" i="10"/>
  <c r="CS26" i="10" s="1"/>
  <c r="CT26" i="10" s="1"/>
  <c r="CZ18" i="1"/>
  <c r="DA18" i="1" s="1"/>
  <c r="DC18" i="1" s="1"/>
  <c r="C44" i="11" s="1"/>
  <c r="CB18" i="1"/>
  <c r="DU18" i="1"/>
  <c r="DV18" i="1" s="1"/>
  <c r="BA18" i="1"/>
  <c r="BF19" i="1"/>
  <c r="R24" i="1" s="1"/>
  <c r="BC19" i="1"/>
  <c r="R23" i="1" s="1"/>
  <c r="Q22" i="1" l="1"/>
  <c r="F44" i="11"/>
  <c r="H44" i="11" s="1"/>
  <c r="BG26" i="10"/>
  <c r="Y24" i="10" s="1"/>
  <c r="BF26" i="10"/>
  <c r="BD26" i="10"/>
  <c r="Y23" i="10" s="1"/>
  <c r="Z23" i="10" s="1"/>
  <c r="BE26" i="10"/>
  <c r="BB26" i="10"/>
  <c r="EJ26" i="10"/>
  <c r="FG55" i="10" s="1"/>
  <c r="DJ26" i="10"/>
  <c r="C44" i="7"/>
  <c r="DH18" i="1"/>
  <c r="EI18" i="1" s="1"/>
  <c r="EX47" i="1" s="1"/>
  <c r="EY47" i="1" s="1"/>
  <c r="EZ47" i="1" s="1"/>
  <c r="FA47" i="1" s="1"/>
  <c r="FB47" i="1" s="1"/>
  <c r="FC47" i="1" s="1"/>
  <c r="DW18" i="1"/>
  <c r="BD18" i="1" s="1"/>
  <c r="EF18" i="1"/>
  <c r="EG18" i="1" s="1"/>
  <c r="DM18" i="1" s="1"/>
  <c r="DN18" i="1" s="1"/>
  <c r="CH18" i="1"/>
  <c r="CI18" i="1" s="1"/>
  <c r="CJ18" i="1" s="1"/>
  <c r="CU26" i="10"/>
  <c r="CK18" i="1" l="1"/>
  <c r="BW26" i="10"/>
  <c r="DY28" i="10"/>
  <c r="Y22" i="10"/>
  <c r="DL26" i="10"/>
  <c r="DP26" i="10" s="1"/>
  <c r="FH55" i="10"/>
  <c r="FG58" i="10"/>
  <c r="FG59" i="10" s="1"/>
  <c r="CV26" i="10"/>
  <c r="DI18" i="1"/>
  <c r="DK18" i="1" s="1"/>
  <c r="DO18" i="1" s="1"/>
  <c r="EX58" i="1"/>
  <c r="EX59" i="1" s="1"/>
  <c r="EK19" i="1" s="1"/>
  <c r="FD47" i="1"/>
  <c r="FE47" i="1" s="1"/>
  <c r="FF47" i="1" s="1"/>
  <c r="FG47" i="1" s="1"/>
  <c r="FC57" i="1"/>
  <c r="EJ23" i="1" s="1"/>
  <c r="CR18" i="1"/>
  <c r="CS18" i="1" s="1"/>
  <c r="CT18" i="1" s="1"/>
  <c r="DX20" i="1" l="1"/>
  <c r="DQ18" i="1"/>
  <c r="EL28" i="10"/>
  <c r="EL27" i="10"/>
  <c r="DK26" i="10"/>
  <c r="DR26" i="10"/>
  <c r="DS26" i="10" s="1"/>
  <c r="DJ18" i="1"/>
  <c r="CU18" i="1"/>
  <c r="EA20" i="1" l="1"/>
  <c r="DR18" i="1"/>
  <c r="DE19" i="1" s="1"/>
  <c r="G45" i="11"/>
  <c r="DF27" i="10"/>
  <c r="DT26" i="10"/>
  <c r="BC26" i="10" s="1"/>
  <c r="BV18" i="1"/>
  <c r="BE18" i="1"/>
  <c r="DS18" i="1" l="1"/>
  <c r="BB18" i="1" s="1"/>
  <c r="DF19" i="1"/>
  <c r="DG19" i="1" s="1"/>
  <c r="E45" i="11"/>
  <c r="DG27" i="10"/>
  <c r="DH27" i="10" s="1"/>
  <c r="DV27" i="10"/>
  <c r="DW27" i="10" s="1"/>
  <c r="DZ27" i="10" s="1"/>
  <c r="CC27" i="10"/>
  <c r="DA27" i="10"/>
  <c r="DB27" i="10" s="1"/>
  <c r="DD27" i="10" s="1"/>
  <c r="CB19" i="1"/>
  <c r="CZ19" i="1"/>
  <c r="DA19" i="1" s="1"/>
  <c r="DC19" i="1" s="1"/>
  <c r="C45" i="11" s="1"/>
  <c r="DU19" i="1"/>
  <c r="DV19" i="1" s="1"/>
  <c r="BA19" i="1"/>
  <c r="R22" i="1" l="1"/>
  <c r="F45" i="11"/>
  <c r="H45" i="11" s="1"/>
  <c r="DH19" i="1"/>
  <c r="EI19" i="1" s="1"/>
  <c r="EY48" i="1" s="1"/>
  <c r="EZ48" i="1" s="1"/>
  <c r="FA48" i="1" s="1"/>
  <c r="FB48" i="1" s="1"/>
  <c r="FC48" i="1" s="1"/>
  <c r="FD48" i="1" s="1"/>
  <c r="DE27" i="10"/>
  <c r="EB27" i="10"/>
  <c r="EG27" i="10"/>
  <c r="EH27" i="10" s="1"/>
  <c r="DN27" i="10" s="1"/>
  <c r="DO27" i="10" s="1"/>
  <c r="DX27" i="10"/>
  <c r="CI27" i="10"/>
  <c r="CS27" i="10" s="1"/>
  <c r="CT27" i="10" s="1"/>
  <c r="C45" i="7"/>
  <c r="DW19" i="1"/>
  <c r="BD19" i="1" s="1"/>
  <c r="EF19" i="1"/>
  <c r="EG19" i="1" s="1"/>
  <c r="DM19" i="1" s="1"/>
  <c r="DN19" i="1" s="1"/>
  <c r="BF20" i="1"/>
  <c r="S24" i="1" s="1"/>
  <c r="BC20" i="1"/>
  <c r="S23" i="1" s="1"/>
  <c r="CH19" i="1"/>
  <c r="CI19" i="1" s="1"/>
  <c r="CJ19" i="1" s="1"/>
  <c r="CK19" i="1" l="1"/>
  <c r="BD27" i="10"/>
  <c r="BE27" i="10"/>
  <c r="BG27" i="10"/>
  <c r="Z24" i="10" s="1"/>
  <c r="BF27" i="10"/>
  <c r="BB27" i="10"/>
  <c r="EJ27" i="10"/>
  <c r="FH56" i="10" s="1"/>
  <c r="FH58" i="10" s="1"/>
  <c r="FH59" i="10" s="1"/>
  <c r="DJ27" i="10"/>
  <c r="EY58" i="1"/>
  <c r="EY59" i="1" s="1"/>
  <c r="EK20" i="1" s="1"/>
  <c r="DI19" i="1"/>
  <c r="DK19" i="1" s="1"/>
  <c r="DO19" i="1" s="1"/>
  <c r="FE48" i="1"/>
  <c r="FF48" i="1" s="1"/>
  <c r="FG48" i="1" s="1"/>
  <c r="FD57" i="1"/>
  <c r="EJ24" i="1" s="1"/>
  <c r="CR19" i="1"/>
  <c r="CS19" i="1" s="1"/>
  <c r="CT19" i="1" s="1"/>
  <c r="DX21" i="1" s="1"/>
  <c r="CU27" i="10"/>
  <c r="EA21" i="1" l="1"/>
  <c r="DQ19" i="1"/>
  <c r="BW27" i="10"/>
  <c r="Z22" i="10"/>
  <c r="DL27" i="10"/>
  <c r="DP27" i="10" s="1"/>
  <c r="CV27" i="10"/>
  <c r="DJ19" i="1"/>
  <c r="DR19" i="1" l="1"/>
  <c r="DE20" i="1" s="1"/>
  <c r="G46" i="11"/>
  <c r="DR27" i="10"/>
  <c r="DS27" i="10" s="1"/>
  <c r="DK27" i="10"/>
  <c r="BV19" i="1"/>
  <c r="BE19" i="1"/>
  <c r="CU19" i="1"/>
  <c r="DS19" i="1" l="1"/>
  <c r="BB19" i="1" s="1"/>
  <c r="DF20" i="1"/>
  <c r="DG20" i="1" s="1"/>
  <c r="E46" i="11"/>
  <c r="DF28" i="10"/>
  <c r="BB28" i="10" s="1"/>
  <c r="DT27" i="10"/>
  <c r="BC27" i="10" s="1"/>
  <c r="CB20" i="1"/>
  <c r="DU20" i="1"/>
  <c r="DV20" i="1" s="1"/>
  <c r="CZ20" i="1"/>
  <c r="DA20" i="1" s="1"/>
  <c r="DC20" i="1" s="1"/>
  <c r="C46" i="11" s="1"/>
  <c r="BA20" i="1"/>
  <c r="S22" i="1" l="1"/>
  <c r="F46" i="11"/>
  <c r="H46" i="11" s="1"/>
  <c r="DH20" i="1"/>
  <c r="AA22" i="10"/>
  <c r="BB29" i="10"/>
  <c r="DA28" i="10"/>
  <c r="DB28" i="10" s="1"/>
  <c r="DD28" i="10" s="1"/>
  <c r="DV28" i="10"/>
  <c r="DW28" i="10" s="1"/>
  <c r="DZ28" i="10" s="1"/>
  <c r="EB28" i="10" s="1"/>
  <c r="CC28" i="10"/>
  <c r="DG28" i="10"/>
  <c r="DH28" i="10" s="1"/>
  <c r="C46" i="7"/>
  <c r="CH20" i="1"/>
  <c r="CI20" i="1" s="1"/>
  <c r="CJ20" i="1" s="1"/>
  <c r="DW20" i="1"/>
  <c r="EF20" i="1"/>
  <c r="EG20" i="1" s="1"/>
  <c r="DM20" i="1" s="1"/>
  <c r="DN20" i="1" s="1"/>
  <c r="BC21" i="1"/>
  <c r="T23" i="1" s="1"/>
  <c r="BF21" i="1"/>
  <c r="T24" i="1" s="1"/>
  <c r="CK20" i="1" l="1"/>
  <c r="DE28" i="10"/>
  <c r="BG28" i="10"/>
  <c r="AA24" i="10" s="1"/>
  <c r="BD28" i="10"/>
  <c r="BD29" i="10" s="1"/>
  <c r="BF28" i="10"/>
  <c r="CI28" i="10"/>
  <c r="CS28" i="10" s="1"/>
  <c r="CT28" i="10" s="1"/>
  <c r="DX28" i="10"/>
  <c r="BE28" i="10" s="1"/>
  <c r="EG28" i="10"/>
  <c r="EH28" i="10" s="1"/>
  <c r="DN28" i="10" s="1"/>
  <c r="BD20" i="1"/>
  <c r="CR20" i="1"/>
  <c r="CS20" i="1" s="1"/>
  <c r="CT20" i="1" s="1"/>
  <c r="DX22" i="1" s="1"/>
  <c r="EI20" i="1"/>
  <c r="EZ49" i="1" s="1"/>
  <c r="DI20" i="1"/>
  <c r="EA22" i="1" l="1"/>
  <c r="DO28" i="10"/>
  <c r="DN29" i="10"/>
  <c r="DO29" i="10" s="1"/>
  <c r="EJ28" i="10"/>
  <c r="DJ28" i="10"/>
  <c r="FA49" i="1"/>
  <c r="FB49" i="1" s="1"/>
  <c r="FC49" i="1" s="1"/>
  <c r="FD49" i="1" s="1"/>
  <c r="FE49" i="1" s="1"/>
  <c r="EZ58" i="1"/>
  <c r="EZ59" i="1" s="1"/>
  <c r="EK21" i="1" s="1"/>
  <c r="DK20" i="1"/>
  <c r="DO20" i="1" s="1"/>
  <c r="BV20" i="1"/>
  <c r="BE20" i="1"/>
  <c r="CU20" i="1"/>
  <c r="CU28" i="10"/>
  <c r="DQ20" i="1" l="1"/>
  <c r="DL28" i="10"/>
  <c r="DP28" i="10" s="1"/>
  <c r="DS28" i="10" s="1"/>
  <c r="DT28" i="10" s="1"/>
  <c r="BC28" i="10" s="1"/>
  <c r="BW28" i="10"/>
  <c r="CU29" i="10"/>
  <c r="CV28" i="10"/>
  <c r="DJ20" i="1"/>
  <c r="FF49" i="1"/>
  <c r="FG49" i="1" s="1"/>
  <c r="FE57" i="1"/>
  <c r="EJ25" i="1" s="1"/>
  <c r="DR20" i="1" l="1"/>
  <c r="DE21" i="1" s="1"/>
  <c r="G47" i="11"/>
  <c r="DK28" i="10"/>
  <c r="BF22" i="1"/>
  <c r="U24" i="1" s="1"/>
  <c r="BC22" i="1"/>
  <c r="U23" i="1" s="1"/>
  <c r="DF21" i="1" l="1"/>
  <c r="E47" i="11"/>
  <c r="DS20" i="1"/>
  <c r="BB20" i="1" s="1"/>
  <c r="DU21" i="1"/>
  <c r="DV21" i="1" s="1"/>
  <c r="DG21" i="1"/>
  <c r="CB21" i="1"/>
  <c r="CZ21" i="1"/>
  <c r="DA21" i="1" s="1"/>
  <c r="DC21" i="1" s="1"/>
  <c r="C47" i="11" s="1"/>
  <c r="BA21" i="1"/>
  <c r="T22" i="1" l="1"/>
  <c r="AY55" i="1"/>
  <c r="F47" i="11"/>
  <c r="H47" i="11" s="1"/>
  <c r="DH21" i="1"/>
  <c r="C47" i="7"/>
  <c r="CH21" i="1"/>
  <c r="CI21" i="1" s="1"/>
  <c r="CJ21" i="1" s="1"/>
  <c r="AW24" i="1"/>
  <c r="DW21" i="1"/>
  <c r="EF21" i="1"/>
  <c r="EG21" i="1" s="1"/>
  <c r="DM21" i="1" s="1"/>
  <c r="DN21" i="1" s="1"/>
  <c r="DZ27" i="1" l="1"/>
  <c r="DZ23" i="1"/>
  <c r="DZ26" i="1"/>
  <c r="DZ25" i="1"/>
  <c r="DZ28" i="1"/>
  <c r="DZ24" i="1"/>
  <c r="CK21" i="1"/>
  <c r="BD21" i="1"/>
  <c r="CR21" i="1"/>
  <c r="CS21" i="1" s="1"/>
  <c r="CT21" i="1" s="1"/>
  <c r="DX23" i="1" s="1"/>
  <c r="EI21" i="1"/>
  <c r="FA50" i="1" s="1"/>
  <c r="DI21" i="1"/>
  <c r="EA23" i="1" l="1"/>
  <c r="DK21" i="1"/>
  <c r="DO21" i="1" s="1"/>
  <c r="FB50" i="1"/>
  <c r="FC50" i="1" s="1"/>
  <c r="FD50" i="1" s="1"/>
  <c r="FE50" i="1" s="1"/>
  <c r="FF50" i="1" s="1"/>
  <c r="FA58" i="1"/>
  <c r="FA59" i="1" s="1"/>
  <c r="EK22" i="1" s="1"/>
  <c r="DQ21" i="1" l="1"/>
  <c r="FG50" i="1"/>
  <c r="FF57" i="1"/>
  <c r="EJ26" i="1" s="1"/>
  <c r="BV21" i="1"/>
  <c r="BE21" i="1"/>
  <c r="CU21" i="1"/>
  <c r="DJ21" i="1"/>
  <c r="DR21" i="1" l="1"/>
  <c r="DE22" i="1" s="1"/>
  <c r="G48" i="11"/>
  <c r="DF22" i="1" l="1"/>
  <c r="DG22" i="1" s="1"/>
  <c r="E48" i="11"/>
  <c r="DS21" i="1"/>
  <c r="BB21" i="1" s="1"/>
  <c r="DU22" i="1"/>
  <c r="DV22" i="1" s="1"/>
  <c r="CB22" i="1"/>
  <c r="CZ22" i="1"/>
  <c r="DA22" i="1" s="1"/>
  <c r="DC22" i="1" s="1"/>
  <c r="C48" i="11" s="1"/>
  <c r="BA22" i="1"/>
  <c r="U22" i="1" l="1"/>
  <c r="F48" i="11"/>
  <c r="H48" i="11" s="1"/>
  <c r="DH22" i="1"/>
  <c r="C48" i="7"/>
  <c r="CH22" i="1"/>
  <c r="CR22" i="1" s="1"/>
  <c r="CS22" i="1" s="1"/>
  <c r="CT22" i="1" s="1"/>
  <c r="DX24" i="1" s="1"/>
  <c r="DX25" i="1" s="1"/>
  <c r="DX26" i="1" s="1"/>
  <c r="DX27" i="1" s="1"/>
  <c r="DX28" i="1" s="1"/>
  <c r="DW22" i="1"/>
  <c r="BD22" i="1" s="1"/>
  <c r="EF22" i="1"/>
  <c r="EG22" i="1" s="1"/>
  <c r="DM22" i="1" s="1"/>
  <c r="DN22" i="1" s="1"/>
  <c r="EA24" i="1" l="1"/>
  <c r="EI22" i="1"/>
  <c r="FB51" i="1" s="1"/>
  <c r="DI22" i="1"/>
  <c r="FC51" i="1" l="1"/>
  <c r="FD51" i="1" s="1"/>
  <c r="FE51" i="1" s="1"/>
  <c r="FF51" i="1" s="1"/>
  <c r="FG51" i="1" s="1"/>
  <c r="FG57" i="1" s="1"/>
  <c r="FB58" i="1"/>
  <c r="FB59" i="1" s="1"/>
  <c r="EK23" i="1" s="1"/>
  <c r="DK22" i="1"/>
  <c r="DO22" i="1" s="1"/>
  <c r="BV22" i="1"/>
  <c r="BE22" i="1"/>
  <c r="CU22" i="1"/>
  <c r="DQ22" i="1" l="1"/>
  <c r="DJ22" i="1"/>
  <c r="EJ27" i="1"/>
  <c r="EJ28" i="1"/>
  <c r="DR22" i="1" l="1"/>
  <c r="DE23" i="1" s="1"/>
  <c r="G49" i="11"/>
  <c r="DF23" i="1" l="1"/>
  <c r="DG23" i="1" s="1"/>
  <c r="E49" i="11"/>
  <c r="DS22" i="1"/>
  <c r="BB22" i="1" s="1"/>
  <c r="DU23" i="1"/>
  <c r="DV23" i="1" s="1"/>
  <c r="CB23" i="1"/>
  <c r="CZ23" i="1"/>
  <c r="DA23" i="1" s="1"/>
  <c r="DC23" i="1" s="1"/>
  <c r="C49" i="11" s="1"/>
  <c r="DH23" i="1" l="1"/>
  <c r="BF23" i="1"/>
  <c r="V24" i="1" s="1"/>
  <c r="BC23" i="1"/>
  <c r="V23" i="1" s="1"/>
  <c r="BA23" i="1"/>
  <c r="CH23" i="1"/>
  <c r="CR23" i="1" s="1"/>
  <c r="CS23" i="1" s="1"/>
  <c r="CT23" i="1" s="1"/>
  <c r="DW23" i="1"/>
  <c r="EF23" i="1"/>
  <c r="EG23" i="1" s="1"/>
  <c r="DM23" i="1" s="1"/>
  <c r="DN23" i="1" s="1"/>
  <c r="BD23" i="1" l="1"/>
  <c r="V22" i="1"/>
  <c r="F49" i="11"/>
  <c r="H49" i="11" s="1"/>
  <c r="C49" i="7"/>
  <c r="EI23" i="1"/>
  <c r="FC52" i="1" s="1"/>
  <c r="DI23" i="1"/>
  <c r="BV23" i="1" l="1"/>
  <c r="BE23" i="1"/>
  <c r="FD52" i="1"/>
  <c r="FE52" i="1" s="1"/>
  <c r="FF52" i="1" s="1"/>
  <c r="FG52" i="1" s="1"/>
  <c r="FC58" i="1"/>
  <c r="FC59" i="1" s="1"/>
  <c r="EK24" i="1" s="1"/>
  <c r="CU23" i="1"/>
  <c r="DK23" i="1"/>
  <c r="DO23" i="1" s="1"/>
  <c r="DQ23" i="1" l="1"/>
  <c r="DJ23" i="1"/>
  <c r="DR23" i="1" l="1"/>
  <c r="DE24" i="1" s="1"/>
  <c r="G50" i="11"/>
  <c r="DF24" i="1" l="1"/>
  <c r="DG24" i="1" s="1"/>
  <c r="E50" i="11"/>
  <c r="DS23" i="1"/>
  <c r="BB23" i="1" s="1"/>
  <c r="CZ24" i="1"/>
  <c r="DA24" i="1" s="1"/>
  <c r="DC24" i="1" s="1"/>
  <c r="C50" i="11" s="1"/>
  <c r="DU24" i="1"/>
  <c r="DV24" i="1" s="1"/>
  <c r="CB24" i="1"/>
  <c r="DH24" i="1" l="1"/>
  <c r="EI24" i="1" s="1"/>
  <c r="FD53" i="1" s="1"/>
  <c r="FE53" i="1" s="1"/>
  <c r="FF53" i="1" s="1"/>
  <c r="FG53" i="1" s="1"/>
  <c r="CH24" i="1"/>
  <c r="CR24" i="1" s="1"/>
  <c r="CS24" i="1" s="1"/>
  <c r="CT24" i="1" s="1"/>
  <c r="DW24" i="1"/>
  <c r="DY25" i="1" s="1"/>
  <c r="EF24" i="1"/>
  <c r="EG24" i="1" s="1"/>
  <c r="DM24" i="1" s="1"/>
  <c r="DN24" i="1" s="1"/>
  <c r="EA25" i="1" l="1"/>
  <c r="FD58" i="1"/>
  <c r="FD59" i="1" s="1"/>
  <c r="EK25" i="1" s="1"/>
  <c r="DI24" i="1"/>
  <c r="DK24" i="1" s="1"/>
  <c r="DO24" i="1" s="1"/>
  <c r="DQ24" i="1" l="1"/>
  <c r="BV24" i="1"/>
  <c r="CU24" i="1"/>
  <c r="BD24" i="1"/>
  <c r="BC24" i="1"/>
  <c r="W23" i="1" s="1"/>
  <c r="BA24" i="1"/>
  <c r="BF24" i="1"/>
  <c r="W24" i="1" s="1"/>
  <c r="BE24" i="1"/>
  <c r="DJ24" i="1"/>
  <c r="DR24" i="1" l="1"/>
  <c r="DE25" i="1" s="1"/>
  <c r="G51" i="11"/>
  <c r="W22" i="1"/>
  <c r="F50" i="11"/>
  <c r="H50" i="11" s="1"/>
  <c r="C50" i="7"/>
  <c r="DF25" i="1" l="1"/>
  <c r="DG25" i="1" s="1"/>
  <c r="E51" i="11"/>
  <c r="DS24" i="1"/>
  <c r="BB24" i="1" s="1"/>
  <c r="CB25" i="1"/>
  <c r="DU25" i="1"/>
  <c r="DV25" i="1" s="1"/>
  <c r="CZ25" i="1"/>
  <c r="DA25" i="1" s="1"/>
  <c r="DC25" i="1" s="1"/>
  <c r="C51" i="11" s="1"/>
  <c r="DH25" i="1" l="1"/>
  <c r="EF25" i="1"/>
  <c r="EG25" i="1" s="1"/>
  <c r="DM25" i="1" s="1"/>
  <c r="DN25" i="1" s="1"/>
  <c r="DW25" i="1"/>
  <c r="DY26" i="1" s="1"/>
  <c r="EA26" i="1" s="1"/>
  <c r="CH25" i="1"/>
  <c r="CR25" i="1" s="1"/>
  <c r="CS25" i="1" s="1"/>
  <c r="CT25" i="1" s="1"/>
  <c r="BD25" i="1" l="1"/>
  <c r="BF25" i="1"/>
  <c r="X24" i="1" s="1"/>
  <c r="BC25" i="1"/>
  <c r="X23" i="1" s="1"/>
  <c r="BA25" i="1"/>
  <c r="BE25" i="1"/>
  <c r="EI25" i="1"/>
  <c r="FE54" i="1" s="1"/>
  <c r="DI25" i="1"/>
  <c r="X22" i="1" l="1"/>
  <c r="F51" i="11"/>
  <c r="H51" i="11" s="1"/>
  <c r="C51" i="7"/>
  <c r="BV25" i="1"/>
  <c r="FF54" i="1"/>
  <c r="FG54" i="1" s="1"/>
  <c r="FE58" i="1"/>
  <c r="FE59" i="1" s="1"/>
  <c r="EK26" i="1" s="1"/>
  <c r="DK25" i="1"/>
  <c r="DO25" i="1" s="1"/>
  <c r="CU25" i="1"/>
  <c r="DQ25" i="1" l="1"/>
  <c r="DJ25" i="1"/>
  <c r="DR25" i="1" l="1"/>
  <c r="DE26" i="1" s="1"/>
  <c r="G52" i="11"/>
  <c r="DF26" i="1" l="1"/>
  <c r="DG26" i="1" s="1"/>
  <c r="E52" i="11"/>
  <c r="DS25" i="1"/>
  <c r="BB25" i="1" s="1"/>
  <c r="DU26" i="1"/>
  <c r="DV26" i="1" s="1"/>
  <c r="CB26" i="1"/>
  <c r="CZ26" i="1"/>
  <c r="DA26" i="1" s="1"/>
  <c r="DC26" i="1" s="1"/>
  <c r="C52" i="11" s="1"/>
  <c r="DH26" i="1" l="1"/>
  <c r="CH26" i="1"/>
  <c r="CR26" i="1" s="1"/>
  <c r="CS26" i="1" s="1"/>
  <c r="CT26" i="1" s="1"/>
  <c r="DW26" i="1"/>
  <c r="DY27" i="1" s="1"/>
  <c r="EF26" i="1"/>
  <c r="EG26" i="1" s="1"/>
  <c r="DM26" i="1" s="1"/>
  <c r="DN26" i="1" s="1"/>
  <c r="EA27" i="1" l="1"/>
  <c r="BF26" i="1"/>
  <c r="Y24" i="1" s="1"/>
  <c r="BC26" i="1"/>
  <c r="Y23" i="1" s="1"/>
  <c r="Z23" i="1" s="1"/>
  <c r="BD26" i="1"/>
  <c r="BA26" i="1"/>
  <c r="BE26" i="1"/>
  <c r="EI26" i="1"/>
  <c r="FF55" i="1" s="1"/>
  <c r="DI26" i="1"/>
  <c r="Y22" i="1" l="1"/>
  <c r="F52" i="11"/>
  <c r="H52" i="11" s="1"/>
  <c r="BV26" i="1"/>
  <c r="C52" i="7"/>
  <c r="DK26" i="1"/>
  <c r="DO26" i="1" s="1"/>
  <c r="FG55" i="1"/>
  <c r="FF58" i="1"/>
  <c r="FF59" i="1" s="1"/>
  <c r="CU26" i="1"/>
  <c r="EK28" i="1" l="1"/>
  <c r="EK27" i="1"/>
  <c r="DQ26" i="1"/>
  <c r="DJ26" i="1"/>
  <c r="DR26" i="1" l="1"/>
  <c r="DE27" i="1" s="1"/>
  <c r="G53" i="11"/>
  <c r="DF27" i="1" l="1"/>
  <c r="DG27" i="1" s="1"/>
  <c r="E53" i="11"/>
  <c r="DS26" i="1"/>
  <c r="BB26" i="1" s="1"/>
  <c r="CZ27" i="1"/>
  <c r="DA27" i="1" s="1"/>
  <c r="DC27" i="1" s="1"/>
  <c r="C53" i="11" s="1"/>
  <c r="DU27" i="1"/>
  <c r="DV27" i="1" s="1"/>
  <c r="CB27" i="1"/>
  <c r="DH27" i="1" l="1"/>
  <c r="EI27" i="1" s="1"/>
  <c r="FG56" i="1" s="1"/>
  <c r="FG58" i="1" s="1"/>
  <c r="FG59" i="1" s="1"/>
  <c r="CH27" i="1"/>
  <c r="CR27" i="1" s="1"/>
  <c r="CS27" i="1" s="1"/>
  <c r="CT27" i="1" s="1"/>
  <c r="DW27" i="1"/>
  <c r="DY28" i="1" s="1"/>
  <c r="EA28" i="1" s="1"/>
  <c r="EF27" i="1"/>
  <c r="EG27" i="1" s="1"/>
  <c r="DM27" i="1" s="1"/>
  <c r="DN27" i="1" s="1"/>
  <c r="BD27" i="1" l="1"/>
  <c r="BA27" i="1"/>
  <c r="BC27" i="1"/>
  <c r="BF27" i="1"/>
  <c r="Z24" i="1" s="1"/>
  <c r="DI27" i="1"/>
  <c r="DK27" i="1" s="1"/>
  <c r="DO27" i="1" s="1"/>
  <c r="BV27" i="1"/>
  <c r="Z22" i="1" l="1"/>
  <c r="F53" i="11"/>
  <c r="H53" i="11" s="1"/>
  <c r="DQ27" i="1"/>
  <c r="BE27" i="1"/>
  <c r="C53" i="7"/>
  <c r="DJ27" i="1"/>
  <c r="CU27" i="1"/>
  <c r="DR27" i="1" l="1"/>
  <c r="DE28" i="1" s="1"/>
  <c r="BA28" i="1" s="1"/>
  <c r="G54" i="11"/>
  <c r="DF28" i="1" l="1"/>
  <c r="DG28" i="1" s="1"/>
  <c r="E54" i="11"/>
  <c r="DS27" i="1"/>
  <c r="BB27" i="1" s="1"/>
  <c r="AA22" i="1"/>
  <c r="F54" i="11"/>
  <c r="H54" i="11" s="1"/>
  <c r="C54" i="7"/>
  <c r="BA29" i="1"/>
  <c r="CB28" i="1"/>
  <c r="CZ28" i="1"/>
  <c r="DA28" i="1" s="1"/>
  <c r="DC28" i="1" s="1"/>
  <c r="C54" i="11" s="1"/>
  <c r="DU28" i="1"/>
  <c r="DV28" i="1" s="1"/>
  <c r="DH28" i="1" l="1"/>
  <c r="BC28" i="1"/>
  <c r="BF28" i="1"/>
  <c r="AA24" i="1" s="1"/>
  <c r="CH28" i="1"/>
  <c r="CR28" i="1" s="1"/>
  <c r="CS28" i="1" s="1"/>
  <c r="CT28" i="1" s="1"/>
  <c r="DW28" i="1"/>
  <c r="BD28" i="1" s="1"/>
  <c r="EF28" i="1"/>
  <c r="EG28" i="1" s="1"/>
  <c r="DM28" i="1" s="1"/>
  <c r="DN28" i="1" s="1"/>
  <c r="BC29" i="1" l="1"/>
  <c r="BE28" i="1"/>
  <c r="DM29" i="1"/>
  <c r="DN29" i="1" s="1"/>
  <c r="EI28" i="1"/>
  <c r="DI28" i="1"/>
  <c r="DK28" i="1" l="1"/>
  <c r="DO28" i="1" s="1"/>
  <c r="BV28" i="1"/>
  <c r="CT29" i="1"/>
  <c r="CU28" i="1"/>
  <c r="DJ28" i="1" l="1"/>
  <c r="DR28" i="1" l="1"/>
  <c r="DS28" i="1" s="1"/>
  <c r="BB28" i="1" s="1"/>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X40" authorId="0">
      <text>
        <r>
          <rPr>
            <b/>
            <sz val="9"/>
            <color indexed="81"/>
            <rFont val="Tahoma"/>
            <family val="2"/>
          </rPr>
          <t>Randy Oliver:</t>
        </r>
        <r>
          <rPr>
            <sz val="9"/>
            <color indexed="81"/>
            <rFont val="Tahoma"/>
            <family val="2"/>
          </rPr>
          <t xml:space="preserve">
This number is often referred to as "fitness."  A foundress mite in a worker cell has the potential of producing a little over 2 daughters (see Kuster 2014 1710-1718 doi:10.1242/jeb.097766), but various studies indicate that the observed number is typically lower</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E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B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<sst xmlns="http://schemas.openxmlformats.org/spreadsheetml/2006/main" count="883" uniqueCount="393">
  <si>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</si>
  <si>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</si>
  <si>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</si>
  <si>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</si>
  <si>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</si>
  <si>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</si>
  <si>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</si>
  <si>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</si>
  <si>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</si>
  <si>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</si>
  <si>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</si>
  <si>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</si>
  <si>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</si>
  <si>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</si>
  <si>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</si>
  <si>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</si>
  <si>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</si>
  <si>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</si>
  <si>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</si>
  <si>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</si>
  <si>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</si>
  <si>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</si>
  <si>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</si>
  <si>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</si>
  <si>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</si>
  <si>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</si>
  <si>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</si>
  <si>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</si>
  <si>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</si>
  <si>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</si>
  <si>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</si>
  <si>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</si>
  <si>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</si>
  <si>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</si>
  <si>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</si>
  <si>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</si>
  <si>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</si>
  <si>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</si>
  <si>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</si>
  <si>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</si>
  <si>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</si>
  <si>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</si>
  <si>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</si>
  <si>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</si>
  <si>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</si>
  <si>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</si>
  <si>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</si>
  <si>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</si>
  <si>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</si>
  <si>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</si>
  <si>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</si>
  <si>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</si>
  <si>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</si>
  <si>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</si>
  <si>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</si>
  <si>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</si>
  <si>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</si>
  <si>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</si>
  <si>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</si>
  <si>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</si>
  <si>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</si>
  <si>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</si>
  <si>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</si>
  <si>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</si>
  <si>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</si>
  <si>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</si>
  <si>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</si>
  <si>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</si>
  <si>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</si>
  <si>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</si>
  <si>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</si>
  <si>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</si>
  <si>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</si>
  <si>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</si>
  <si>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</si>
  <si>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</si>
  <si>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</si>
  <si>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</si>
  <si>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</si>
  <si>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</si>
  <si>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</si>
  <si>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</si>
  <si>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</si>
  <si>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</si>
  <si>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</si>
  <si>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</si>
  <si>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</si>
  <si>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</si>
  <si>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</si>
  <si>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</si>
  <si>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</si>
  <si>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</si>
  <si>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</si>
  <si>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</si>
  <si>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</si>
  <si>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</si>
  <si>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</si>
  <si>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</si>
  <si>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</si>
  <si>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</si>
  <si>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</si>
  <si>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</si>
  <si>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</si>
  <si>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</si>
  <si>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</si>
  <si>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</si>
  <si>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</si>
  <si>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</si>
  <si>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</si>
  <si>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</si>
  <si>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</si>
  <si>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</si>
  <si>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</si>
  <si>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</si>
  <si>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</si>
  <si>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</si>
  <si>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</si>
  <si>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</si>
  <si>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</si>
  <si>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</si>
  <si>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</si>
  <si>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</si>
  <si>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</si>
  <si>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</si>
  <si>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</si>
  <si>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</si>
  <si>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</si>
  <si>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</si>
  <si>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</si>
  <si>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</si>
  <si>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</si>
  <si>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</si>
  <si>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</si>
  <si>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</si>
  <si>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</si>
  <si>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</si>
  <si>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</si>
  <si>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</si>
  <si>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</si>
  <si>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</si>
  <si>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</si>
  <si>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</si>
  <si>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</si>
  <si>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</si>
  <si>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</si>
  <si>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</si>
  <si>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</si>
  <si>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</si>
  <si>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</si>
  <si>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</si>
  <si>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</si>
  <si>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</si>
  <si>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</si>
  <si>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</si>
  <si>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</si>
  <si>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</si>
  <si>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</si>
  <si>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</si>
  <si>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</si>
  <si>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</si>
  <si>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</si>
  <si>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</si>
  <si>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</si>
  <si>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</si>
  <si>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</si>
  <si>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</si>
  <si>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</si>
  <si>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</si>
  <si>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</si>
  <si>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</si>
  <si>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</si>
  <si>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</si>
  <si>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</si>
  <si>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</si>
  <si>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</si>
  <si>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</si>
  <si>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</si>
  <si>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</si>
  <si>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</si>
  <si>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</si>
  <si>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</si>
  <si>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</si>
  <si>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</si>
  <si>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</si>
  <si>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</si>
  <si>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</si>
  <si>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</si>
  <si>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</si>
  <si>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</si>
  <si>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</si>
  <si>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</si>
  <si>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</si>
  <si>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</si>
  <si>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</si>
  <si>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</si>
  <si>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</si>
  <si>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</si>
  <si>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</si>
  <si>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</si>
  <si>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</si>
  <si>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</si>
  <si>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</si>
  <si>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</si>
  <si>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</si>
  <si>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</si>
  <si>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</si>
  <si>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</si>
  <si>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</si>
  <si>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</si>
  <si>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</si>
  <si>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</si>
  <si>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</si>
  <si>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</si>
  <si>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</si>
  <si>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</si>
  <si>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</si>
  <si>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</si>
  <si>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</si>
  <si>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</si>
  <si>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</si>
  <si>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</si>
  <si>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</si>
  <si>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</si>
  <si>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</si>
  <si>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</si>
  <si>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</si>
  <si>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</si>
  <si>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</si>
  <si>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</si>
  <si>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</si>
  <si>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</si>
  <si>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</si>
  <si>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</si>
  <si>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</si>
  <si>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</si>
  <si>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</si>
  <si>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</si>
  <si>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</si>
  <si>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</si>
  <si>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</si>
  <si>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</si>
  <si>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</si>
  <si>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</si>
  <si>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</si>
  <si>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</si>
  <si>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</si>
  <si>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</si>
  <si>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</si>
  <si>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</si>
  <si>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</si>
  <si>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</si>
  <si>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</si>
  <si>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</si>
  <si>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</si>
  <si>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</si>
  <si>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</si>
  <si>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</si>
  <si>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</si>
  <si>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</si>
  <si>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</si>
  <si>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</si>
  <si>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</si>
  <si>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</si>
  <si>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</si>
  <si>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</si>
  <si>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</si>
  <si>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</si>
  <si>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</si>
  <si>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</si>
  <si>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</si>
  <si>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</si>
  <si>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</si>
  <si>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</si>
  <si>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</si>
  <si>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</si>
  <si>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</si>
  <si>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</si>
  <si>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</si>
  <si>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</si>
  <si>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</si>
  <si>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</si>
  <si>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</si>
  <si>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</si>
  <si>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</si>
  <si>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</si>
  <si>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</si>
  <si>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</si>
  <si>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</si>
  <si>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</si>
  <si>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</si>
  <si>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</si>
  <si>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</si>
  <si>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</si>
  <si>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</si>
  <si>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</si>
  <si>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</si>
  <si>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</si>
  <si>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</si>
  <si>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</si>
  <si>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</si>
  <si>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</si>
  <si>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</si>
  <si>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</si>
  <si>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</si>
  <si>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</si>
  <si>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</si>
  <si>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</si>
  <si>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</si>
  <si>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</si>
  <si>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</si>
  <si>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</si>
  <si>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</si>
  <si>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</si>
  <si>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</si>
  <si>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</si>
  <si>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</si>
  <si>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</si>
  <si>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</si>
  <si>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</si>
  <si>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</si>
  <si>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</si>
  <si>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</si>
  <si>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</si>
  <si>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</si>
  <si>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</si>
  <si>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</si>
  <si>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</si>
  <si>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</si>
  <si>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</si>
  <si>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</si>
  <si>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</si>
  <si>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</si>
  <si>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</si>
  <si>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</si>
  <si>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</si>
  <si>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</si>
  <si>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</si>
  <si>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</si>
  <si>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</si>
  <si>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</si>
  <si>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</si>
  <si>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</si>
  <si>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</si>
  <si>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</si>
  <si>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</si>
  <si>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</si>
  <si>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</si>
  <si>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</si>
  <si>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</si>
  <si>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</si>
  <si>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</si>
  <si>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</si>
  <si>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</si>
  <si>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</si>
  <si>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</si>
  <si>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</si>
  <si>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</si>
  <si>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</si>
  <si>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</si>
  <si>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</si>
  <si>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</si>
  <si>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</si>
  <si>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</si>
  <si>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</si>
  <si>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</si>
  <si>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</si>
  <si>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</si>
  <si>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</si>
  <si>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</si>
  <si>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</si>
  <si>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</si>
  <si>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</si>
  <si>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</si>
  <si>
    <t>b</t>
  </si>
  <si>
    <t>%</t>
  </si>
  <si>
    <t>15-45%</t>
  </si>
  <si>
    <t>80-95%</t>
  </si>
  <si>
    <t>15-20%</t>
  </si>
  <si>
    <t>~35%</t>
  </si>
  <si>
    <t>~50%</t>
  </si>
  <si>
    <t>Walkaway split, or forced queen replacement (26 days no egglaying)</t>
  </si>
  <si>
    <t>r value of adult bees</t>
  </si>
  <si>
    <t>r value of varroa</t>
  </si>
  <si>
    <t>Absolute change in mite pop</t>
  </si>
  <si>
    <t>Mite pop change independent of treatment</t>
  </si>
  <si>
    <r>
      <t xml:space="preserve">Arbitrary crash indicator,  worker </t>
    </r>
    <r>
      <rPr>
        <b/>
        <sz val="10"/>
        <color rgb="FFFF0000"/>
        <rFont val="Arial"/>
        <family val="2"/>
      </rPr>
      <t>brood</t>
    </r>
    <r>
      <rPr>
        <sz val="10"/>
        <rFont val="Arial"/>
        <family val="2"/>
      </rPr>
      <t xml:space="preserve"> infestation rate</t>
    </r>
  </si>
  <si>
    <r>
      <t xml:space="preserve">Infestation rate of nonreturning bees relative to young workers at low mite levels.  </t>
    </r>
    <r>
      <rPr>
        <b/>
        <sz val="10"/>
        <color rgb="FFFF0000"/>
        <rFont val="Arial"/>
        <family val="2"/>
      </rPr>
      <t>This factor has a large impact upon the overall rate of mite buildup!</t>
    </r>
  </si>
  <si>
    <t>Arbitrary colony crash indicator (% brood infested)</t>
  </si>
  <si>
    <t>Virus crash if mid Oct wash &gt;60 despite trtmt</t>
  </si>
  <si>
    <r>
      <t xml:space="preserve">Arbitrary crash indicator, mite wash of </t>
    </r>
    <r>
      <rPr>
        <b/>
        <sz val="10"/>
        <color rgb="FFFF0000"/>
        <rFont val="Arial"/>
        <family val="2"/>
      </rPr>
      <t xml:space="preserve">adult bees </t>
    </r>
  </si>
  <si>
    <t>Delayed crash indicator (mite wash count)</t>
  </si>
  <si>
    <r>
      <t>Default simulations are for bees exhibiting little mite resistance--</t>
    </r>
    <r>
      <rPr>
        <b/>
        <i/>
        <sz val="10"/>
        <color rgb="FFFF0000"/>
        <rFont val="Arial"/>
        <family val="2"/>
      </rPr>
      <t>you can customize for mite-resistance in cell AH49.</t>
    </r>
  </si>
  <si>
    <r>
      <t>P</t>
    </r>
    <r>
      <rPr>
        <i/>
        <sz val="10"/>
        <rFont val="Arial"/>
        <family val="2"/>
      </rPr>
      <t>ercent reduction in foundress reproductive success due to uncapping and VSH behaviors.  50% reduction confers strong resistance.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</si>
</sst>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3"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
      <b/>
      <i/>
      <sz val="10"/>
      <color rgb="FFFF0000"/>
      <name val="Arial"/>
      <family val="2"/>
    </font>
  </fonts>
  <fills count="1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624">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0" fillId="0" borderId="9" xfId="0" applyBorder="1" applyAlignment="1">
      <alignment horizontal="left" vertical="top"/>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xf>
    <xf numFmtId="9" fontId="4" fillId="7" borderId="1" xfId="0" applyNumberFormat="1" applyFont="1" applyFill="1" applyBorder="1" applyAlignment="1">
      <alignment horizontal="center"/>
    </xf>
    <xf numFmtId="0" fontId="0" fillId="0" borderId="0" xfId="0" applyAlignment="1">
      <alignment horizontal="left"/>
    </xf>
    <xf numFmtId="0" fontId="0" fillId="0" borderId="0" xfId="0" applyAlignment="1">
      <alignment horizontal="center"/>
    </xf>
    <xf numFmtId="0" fontId="5" fillId="0" borderId="1" xfId="0" applyFont="1" applyBorder="1" applyAlignment="1">
      <alignment horizontal="center"/>
    </xf>
    <xf numFmtId="0" fontId="5" fillId="0" borderId="0" xfId="0" applyFont="1"/>
    <xf numFmtId="1" fontId="4" fillId="7" borderId="1" xfId="0" applyNumberFormat="1" applyFont="1" applyFill="1" applyBorder="1" applyAlignment="1">
      <alignment horizontal="center"/>
    </xf>
    <xf numFmtId="0" fontId="0" fillId="0" borderId="1" xfId="0" applyBorder="1" applyAlignment="1">
      <alignment horizontal="left" vertical="center" wrapText="1"/>
    </xf>
    <xf numFmtId="9"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10" borderId="0" xfId="0" applyFont="1" applyFill="1" applyAlignment="1">
      <alignment horizontal="center" vertical="center" wrapText="1"/>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5" fillId="0" borderId="4" xfId="0" applyFont="1"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5" fillId="0" borderId="1" xfId="0" applyFont="1" applyBorder="1" applyAlignment="1">
      <alignment horizontal="center"/>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8" xfId="0" applyFont="1" applyFill="1" applyBorder="1" applyAlignment="1">
      <alignment horizontal="center"/>
    </xf>
    <xf numFmtId="0" fontId="5" fillId="0" borderId="0" xfId="0" applyFont="1" applyFill="1" applyBorder="1" applyAlignment="1">
      <alignment horizontal="center"/>
    </xf>
    <xf numFmtId="0" fontId="0" fillId="0" borderId="0" xfId="0" applyAlignment="1">
      <alignment horizontal="left"/>
    </xf>
    <xf numFmtId="0" fontId="0" fillId="0" borderId="9" xfId="0" applyBorder="1" applyAlignment="1">
      <alignment horizontal="left" vertical="top" wrapText="1"/>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9" xfId="0" applyBorder="1" applyAlignment="1">
      <alignment horizontal="left" vertical="top"/>
    </xf>
    <xf numFmtId="0" fontId="0" fillId="0" borderId="9" xfId="0" applyBorder="1" applyAlignment="1">
      <alignment horizontal="center" vertical="top" wrapText="1"/>
    </xf>
    <xf numFmtId="0" fontId="4" fillId="0" borderId="1" xfId="0" applyFont="1" applyBorder="1" applyAlignment="1">
      <alignment horizontal="center"/>
    </xf>
    <xf numFmtId="0" fontId="0" fillId="7" borderId="0" xfId="0" applyFill="1" applyAlignment="1">
      <alignment horizontal="center" vertical="center" wrapText="1"/>
    </xf>
    <xf numFmtId="0" fontId="16" fillId="0" borderId="1" xfId="0" applyFont="1" applyBorder="1" applyAlignment="1">
      <alignment horizontal="center"/>
    </xf>
    <xf numFmtId="0" fontId="16" fillId="0" borderId="4" xfId="0" applyFont="1" applyBorder="1" applyAlignment="1">
      <alignment horizontal="left"/>
    </xf>
    <xf numFmtId="0" fontId="16" fillId="0" borderId="1" xfId="0" applyFont="1" applyBorder="1" applyAlignment="1">
      <alignment horizontal="left"/>
    </xf>
    <xf numFmtId="0" fontId="8" fillId="0" borderId="1" xfId="0" applyFont="1" applyBorder="1" applyAlignment="1">
      <alignment horizontal="center"/>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xf numFmtId="0" fontId="0" fillId="0" borderId="1" xfId="0" applyBorder="1" applyAlignment="1">
      <alignment horizont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FFA7A7"/>
      <color rgb="FFE60000"/>
      <color rgb="FF00823B"/>
      <color rgb="FFFF7DFF"/>
      <color rgb="FFB3E971"/>
      <color rgb="FFFF4747"/>
      <color rgb="FFFF7979"/>
      <color rgb="FFFFA3A3"/>
      <color rgb="FFFFC1C1"/>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31.295746204334506</c:v>
                </c:pt>
                <c:pt idx="8">
                  <c:v>47.715156184728393</c:v>
                </c:pt>
                <c:pt idx="9">
                  <c:v>70.161037555520153</c:v>
                </c:pt>
                <c:pt idx="10">
                  <c:v>105.65572874954982</c:v>
                </c:pt>
                <c:pt idx="11">
                  <c:v>148.59544208395744</c:v>
                </c:pt>
                <c:pt idx="12">
                  <c:v>204.10325085027694</c:v>
                </c:pt>
                <c:pt idx="13">
                  <c:v>270.56244927801981</c:v>
                </c:pt>
                <c:pt idx="14">
                  <c:v>357.94232395976746</c:v>
                </c:pt>
                <c:pt idx="15">
                  <c:v>479.45810763486577</c:v>
                </c:pt>
                <c:pt idx="16">
                  <c:v>35.21833500677328</c:v>
                </c:pt>
                <c:pt idx="17">
                  <c:v>69.85994068778129</c:v>
                </c:pt>
                <c:pt idx="18">
                  <c:v>106.88090322659328</c:v>
                </c:pt>
                <c:pt idx="19">
                  <c:v>108.17359011117236</c:v>
                </c:pt>
                <c:pt idx="20">
                  <c:v>103.9229519313851</c:v>
                </c:pt>
                <c:pt idx="21">
                  <c:v>92.350520312394764</c:v>
                </c:pt>
                <c:pt idx="22">
                  <c:v>95.226268526163025</c:v>
                </c:pt>
                <c:pt idx="23">
                  <c:v>0</c:v>
                </c:pt>
                <c:pt idx="24">
                  <c:v>103.09930535240554</c:v>
                </c:pt>
              </c:numCache>
            </c:numRef>
          </c:val>
        </c:ser>
        <c:dLbls>
          <c:showLegendKey val="0"/>
          <c:showVal val="0"/>
          <c:showCatName val="0"/>
          <c:showSerName val="0"/>
          <c:showPercent val="0"/>
          <c:showBubbleSize val="0"/>
        </c:dLbls>
        <c:axId val="401028224"/>
        <c:axId val="40102976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401049088"/>
        <c:axId val="401032320"/>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47.528153417114936</c:v>
                </c:pt>
                <c:pt idx="8">
                  <c:v>75.712463328523583</c:v>
                </c:pt>
                <c:pt idx="9">
                  <c:v>119.40933612985226</c:v>
                </c:pt>
                <c:pt idx="10">
                  <c:v>182.51496160377994</c:v>
                </c:pt>
                <c:pt idx="11">
                  <c:v>272.8774940069419</c:v>
                </c:pt>
                <c:pt idx="12">
                  <c:v>392.06851709489348</c:v>
                </c:pt>
                <c:pt idx="13">
                  <c:v>550.98031382371255</c:v>
                </c:pt>
                <c:pt idx="14">
                  <c:v>750.81684600505048</c:v>
                </c:pt>
                <c:pt idx="15">
                  <c:v>1011.1193692406275</c:v>
                </c:pt>
                <c:pt idx="16">
                  <c:v>66.376880901445702</c:v>
                </c:pt>
                <c:pt idx="17">
                  <c:v>122.4423356641497</c:v>
                </c:pt>
                <c:pt idx="18">
                  <c:v>207.08824052125479</c:v>
                </c:pt>
                <c:pt idx="19">
                  <c:v>270.94396132282179</c:v>
                </c:pt>
                <c:pt idx="20">
                  <c:v>290.2461156752704</c:v>
                </c:pt>
                <c:pt idx="21">
                  <c:v>306.09622690069557</c:v>
                </c:pt>
                <c:pt idx="22">
                  <c:v>342.59860970292323</c:v>
                </c:pt>
                <c:pt idx="23">
                  <c:v>385.9380875438485</c:v>
                </c:pt>
                <c:pt idx="24">
                  <c:v>345.91708166419932</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401028224"/>
        <c:axId val="40102976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0.20159762222785849</c:v>
                </c:pt>
                <c:pt idx="8">
                  <c:v>0.2697962228226764</c:v>
                </c:pt>
                <c:pt idx="9">
                  <c:v>0.37530574363797831</c:v>
                </c:pt>
                <c:pt idx="10">
                  <c:v>0.50083106970590241</c:v>
                </c:pt>
                <c:pt idx="11">
                  <c:v>0.72242302116626456</c:v>
                </c:pt>
                <c:pt idx="12">
                  <c:v>1.0196129127206304</c:v>
                </c:pt>
                <c:pt idx="13">
                  <c:v>1.4869418282466083</c:v>
                </c:pt>
                <c:pt idx="14">
                  <c:v>2.0924374099709273</c:v>
                </c:pt>
                <c:pt idx="15">
                  <c:v>3.1926763787235175</c:v>
                </c:pt>
                <c:pt idx="16">
                  <c:v>0.24174330683914425</c:v>
                </c:pt>
                <c:pt idx="17">
                  <c:v>0.47763508569329155</c:v>
                </c:pt>
                <c:pt idx="18">
                  <c:v>1.0409220755267827</c:v>
                </c:pt>
                <c:pt idx="19">
                  <c:v>2.0762449465340977</c:v>
                </c:pt>
                <c:pt idx="20">
                  <c:v>3.1043922184044903</c:v>
                </c:pt>
                <c:pt idx="21">
                  <c:v>3.6724991408937666</c:v>
                </c:pt>
                <c:pt idx="22">
                  <c:v>4.2986535678448243</c:v>
                </c:pt>
                <c:pt idx="23">
                  <c:v>7.5981560985195173</c:v>
                </c:pt>
                <c:pt idx="24">
                  <c:v>4.3880883852641848</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pt idx="6">
                  <c:v>0.9</c:v>
                </c:pt>
                <c:pt idx="15">
                  <c:v>0.95</c:v>
                </c:pt>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6.1850846464397407E-3</c:v>
                </c:pt>
              </c:numCache>
            </c:numRef>
          </c:val>
          <c:smooth val="0"/>
        </c:ser>
        <c:dLbls>
          <c:showLegendKey val="0"/>
          <c:showVal val="0"/>
          <c:showCatName val="0"/>
          <c:showSerName val="0"/>
          <c:showPercent val="0"/>
          <c:showBubbleSize val="0"/>
        </c:dLbls>
        <c:marker val="1"/>
        <c:smooth val="0"/>
        <c:axId val="401049088"/>
        <c:axId val="401032320"/>
      </c:lineChart>
      <c:dateAx>
        <c:axId val="40102822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401029760"/>
        <c:crosses val="autoZero"/>
        <c:auto val="0"/>
        <c:lblOffset val="100"/>
        <c:baseTimeUnit val="days"/>
        <c:majorUnit val="1"/>
        <c:majorTimeUnit val="months"/>
        <c:minorUnit val="1"/>
        <c:minorTimeUnit val="months"/>
      </c:dateAx>
      <c:valAx>
        <c:axId val="40102976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401028224"/>
        <c:crossesAt val="40544"/>
        <c:crossBetween val="midCat"/>
      </c:valAx>
      <c:valAx>
        <c:axId val="401032320"/>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401049088"/>
        <c:crosses val="max"/>
        <c:crossBetween val="between"/>
      </c:valAx>
      <c:dateAx>
        <c:axId val="401049088"/>
        <c:scaling>
          <c:orientation val="minMax"/>
        </c:scaling>
        <c:delete val="1"/>
        <c:axPos val="b"/>
        <c:numFmt formatCode="[$-409]d\-mmm;@" sourceLinked="1"/>
        <c:majorTickMark val="out"/>
        <c:minorTickMark val="none"/>
        <c:tickLblPos val="none"/>
        <c:crossAx val="401032320"/>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800648806713474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1125</c:v>
                </c:pt>
                <c:pt idx="21">
                  <c:v>562.5</c:v>
                </c:pt>
                <c:pt idx="22">
                  <c:v>450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12274176"/>
        <c:axId val="212280064"/>
      </c:lineChart>
      <c:dateAx>
        <c:axId val="212274176"/>
        <c:scaling>
          <c:orientation val="minMax"/>
        </c:scaling>
        <c:delete val="0"/>
        <c:axPos val="b"/>
        <c:numFmt formatCode="[$-409]d\-mmm;@" sourceLinked="1"/>
        <c:majorTickMark val="cross"/>
        <c:minorTickMark val="none"/>
        <c:tickLblPos val="nextTo"/>
        <c:txPr>
          <a:bodyPr/>
          <a:lstStyle/>
          <a:p>
            <a:pPr>
              <a:defRPr b="1"/>
            </a:pPr>
            <a:endParaRPr lang="en-US"/>
          </a:p>
        </c:txPr>
        <c:crossAx val="212280064"/>
        <c:crosses val="autoZero"/>
        <c:auto val="1"/>
        <c:lblOffset val="100"/>
        <c:baseTimeUnit val="days"/>
      </c:dateAx>
      <c:valAx>
        <c:axId val="21228006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1227417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12302848"/>
        <c:axId val="212316928"/>
      </c:lineChart>
      <c:dateAx>
        <c:axId val="212302848"/>
        <c:scaling>
          <c:orientation val="minMax"/>
        </c:scaling>
        <c:delete val="0"/>
        <c:axPos val="b"/>
        <c:numFmt formatCode="[$-409]d\-mmm;@" sourceLinked="1"/>
        <c:majorTickMark val="cross"/>
        <c:minorTickMark val="none"/>
        <c:tickLblPos val="nextTo"/>
        <c:txPr>
          <a:bodyPr/>
          <a:lstStyle/>
          <a:p>
            <a:pPr>
              <a:defRPr b="1"/>
            </a:pPr>
            <a:endParaRPr lang="en-US"/>
          </a:p>
        </c:txPr>
        <c:crossAx val="212316928"/>
        <c:crosses val="autoZero"/>
        <c:auto val="1"/>
        <c:lblOffset val="100"/>
        <c:baseTimeUnit val="days"/>
      </c:dateAx>
      <c:valAx>
        <c:axId val="21231692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12302848"/>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212411520"/>
        <c:axId val="212413056"/>
      </c:lineChart>
      <c:dateAx>
        <c:axId val="212411520"/>
        <c:scaling>
          <c:orientation val="minMax"/>
        </c:scaling>
        <c:delete val="0"/>
        <c:axPos val="b"/>
        <c:numFmt formatCode="[$-409]d\-mmm;@" sourceLinked="1"/>
        <c:majorTickMark val="out"/>
        <c:minorTickMark val="none"/>
        <c:tickLblPos val="nextTo"/>
        <c:crossAx val="212413056"/>
        <c:crosses val="autoZero"/>
        <c:auto val="1"/>
        <c:lblOffset val="100"/>
        <c:baseTimeUnit val="days"/>
      </c:dateAx>
      <c:valAx>
        <c:axId val="212413056"/>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212411520"/>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Selected mite immigration</a:t>
            </a:r>
          </a:p>
        </c:rich>
      </c:tx>
      <c:overlay val="0"/>
    </c:title>
    <c:autoTitleDeleted val="0"/>
    <c:plotArea>
      <c:layout/>
      <c:lineChart>
        <c:grouping val="standard"/>
        <c:varyColors val="0"/>
        <c:ser>
          <c:idx val="0"/>
          <c:order val="0"/>
          <c:marker>
            <c:symbol val="circle"/>
            <c:size val="7"/>
            <c:spPr>
              <a:solidFill>
                <a:srgbClr val="C0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Immigration'!$C$12:$C$35</c:f>
              <c:numCache>
                <c:formatCode>General</c:formatCode>
                <c:ptCount val="24"/>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numCache>
            </c:numRef>
          </c:val>
          <c:smooth val="0"/>
        </c:ser>
        <c:dLbls>
          <c:showLegendKey val="0"/>
          <c:showVal val="0"/>
          <c:showCatName val="0"/>
          <c:showSerName val="0"/>
          <c:showPercent val="0"/>
          <c:showBubbleSize val="0"/>
        </c:dLbls>
        <c:marker val="1"/>
        <c:smooth val="0"/>
        <c:axId val="213529344"/>
        <c:axId val="213531264"/>
      </c:lineChart>
      <c:dateAx>
        <c:axId val="213529344"/>
        <c:scaling>
          <c:orientation val="minMax"/>
        </c:scaling>
        <c:delete val="0"/>
        <c:axPos val="b"/>
        <c:numFmt formatCode="[$-409]d\-mmm;@" sourceLinked="1"/>
        <c:majorTickMark val="out"/>
        <c:minorTickMark val="none"/>
        <c:tickLblPos val="nextTo"/>
        <c:crossAx val="213531264"/>
        <c:crosses val="autoZero"/>
        <c:auto val="1"/>
        <c:lblOffset val="100"/>
        <c:baseTimeUnit val="days"/>
      </c:dateAx>
      <c:valAx>
        <c:axId val="213531264"/>
        <c:scaling>
          <c:orientation val="minMax"/>
          <c:max val="600"/>
        </c:scaling>
        <c:delete val="0"/>
        <c:axPos val="l"/>
        <c:majorGridlines/>
        <c:title>
          <c:tx>
            <c:rich>
              <a:bodyPr rot="-5400000" vert="horz"/>
              <a:lstStyle/>
              <a:p>
                <a:pPr>
                  <a:defRPr/>
                </a:pPr>
                <a:r>
                  <a:rPr lang="en-US"/>
                  <a:t>Immigrated mites per time period</a:t>
                </a:r>
              </a:p>
            </c:rich>
          </c:tx>
          <c:overlay val="0"/>
        </c:title>
        <c:numFmt formatCode="General" sourceLinked="1"/>
        <c:majorTickMark val="out"/>
        <c:minorTickMark val="none"/>
        <c:tickLblPos val="nextTo"/>
        <c:crossAx val="213529344"/>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 values of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78720609228744209"/>
          <c:h val="0.68850843966162567"/>
        </c:manualLayout>
      </c:layout>
      <c:lineChart>
        <c:grouping val="standard"/>
        <c:varyColors val="0"/>
        <c:ser>
          <c:idx val="0"/>
          <c:order val="0"/>
          <c:tx>
            <c:strRef>
              <c:f>'r values '!$C$29</c:f>
              <c:strCache>
                <c:ptCount val="1"/>
                <c:pt idx="0">
                  <c:v>r value of varroa</c:v>
                </c:pt>
              </c:strCache>
            </c:strRef>
          </c:tx>
          <c:spPr>
            <a:ln>
              <a:solidFill>
                <a:schemeClr val="tx1"/>
              </a:solidFill>
            </a:ln>
          </c:spPr>
          <c:marker>
            <c:symbol val="circle"/>
            <c:size val="5"/>
            <c:spPr>
              <a:solidFill>
                <a:schemeClr val="tx1"/>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'!$C$30:$C$55</c:f>
              <c:numCache>
                <c:formatCode>#,##0.000</c:formatCode>
                <c:ptCount val="26"/>
                <c:pt idx="0">
                  <c:v>-5.0125418235442863E-3</c:v>
                </c:pt>
                <c:pt idx="1">
                  <c:v>2.0823662100919679E-2</c:v>
                </c:pt>
                <c:pt idx="2">
                  <c:v>2.2065264002602884E-2</c:v>
                </c:pt>
                <c:pt idx="3">
                  <c:v>2.7424563300131304E-2</c:v>
                </c:pt>
                <c:pt idx="4">
                  <c:v>2.9482251264468896E-2</c:v>
                </c:pt>
                <c:pt idx="5">
                  <c:v>3.7407924845798232E-2</c:v>
                </c:pt>
                <c:pt idx="6">
                  <c:v>4.498676952804382E-2</c:v>
                </c:pt>
                <c:pt idx="7">
                  <c:v>5.1143018443206859E-2</c:v>
                </c:pt>
                <c:pt idx="8">
                  <c:v>4.8750503060226928E-2</c:v>
                </c:pt>
                <c:pt idx="9">
                  <c:v>4.5138711588727939E-2</c:v>
                </c:pt>
                <c:pt idx="10">
                  <c:v>4.2157037364144417E-2</c:v>
                </c:pt>
                <c:pt idx="11">
                  <c:v>3.9423314037695847E-2</c:v>
                </c:pt>
                <c:pt idx="12">
                  <c:v>3.7556015607528026E-2</c:v>
                </c:pt>
                <c:pt idx="13">
                  <c:v>3.5293569098724553E-2</c:v>
                </c:pt>
                <c:pt idx="14">
                  <c:v>3.4306858441736046E-2</c:v>
                </c:pt>
                <c:pt idx="15">
                  <c:v>3.4398891497080808E-2</c:v>
                </c:pt>
                <c:pt idx="16">
                  <c:v>3.2726238096280898E-2</c:v>
                </c:pt>
                <c:pt idx="17">
                  <c:v>3.5625275880967873E-2</c:v>
                </c:pt>
                <c:pt idx="18">
                  <c:v>2.8965329265222054E-2</c:v>
                </c:pt>
                <c:pt idx="19">
                  <c:v>2.2112452351758748E-2</c:v>
                </c:pt>
                <c:pt idx="20">
                  <c:v>2.0330665294393976E-2</c:v>
                </c:pt>
                <c:pt idx="21">
                  <c:v>1.7963358016801476E-2</c:v>
                </c:pt>
                <c:pt idx="22">
                  <c:v>1.7329095110840853E-2</c:v>
                </c:pt>
                <c:pt idx="23">
                  <c:v>-5.0125418235442863E-3</c:v>
                </c:pt>
                <c:pt idx="24">
                  <c:v>1.81697769509786E-2</c:v>
                </c:pt>
              </c:numCache>
            </c:numRef>
          </c:val>
          <c:smooth val="0"/>
        </c:ser>
        <c:ser>
          <c:idx val="1"/>
          <c:order val="1"/>
          <c:tx>
            <c:strRef>
              <c:f>'r values '!$D$29</c:f>
              <c:strCache>
                <c:ptCount val="1"/>
                <c:pt idx="0">
                  <c:v>r value of adult bees</c:v>
                </c:pt>
              </c:strCache>
            </c:strRef>
          </c:tx>
          <c:spPr>
            <a:ln>
              <a:solidFill>
                <a:srgbClr val="FFC000"/>
              </a:solidFill>
            </a:ln>
          </c:spPr>
          <c:marker>
            <c:symbol val="circle"/>
            <c:size val="5"/>
            <c:spPr>
              <a:solidFill>
                <a:srgbClr val="FFC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'!$D$31:$D$55</c:f>
              <c:numCache>
                <c:formatCode>#,##0.000</c:formatCode>
                <c:ptCount val="25"/>
                <c:pt idx="0">
                  <c:v>0</c:v>
                </c:pt>
                <c:pt idx="1">
                  <c:v>0</c:v>
                </c:pt>
                <c:pt idx="2">
                  <c:v>-9.5379566160373307E-3</c:v>
                </c:pt>
                <c:pt idx="3">
                  <c:v>0</c:v>
                </c:pt>
                <c:pt idx="4">
                  <c:v>-1.1010762844804168E-2</c:v>
                </c:pt>
                <c:pt idx="5">
                  <c:v>0</c:v>
                </c:pt>
                <c:pt idx="6">
                  <c:v>2.054871946084149E-2</c:v>
                </c:pt>
                <c:pt idx="7">
                  <c:v>1.9903358194908412E-2</c:v>
                </c:pt>
                <c:pt idx="8">
                  <c:v>2.2153923450274247E-2</c:v>
                </c:pt>
                <c:pt idx="9">
                  <c:v>1.3905222239072373E-2</c:v>
                </c:pt>
                <c:pt idx="10">
                  <c:v>1.0471676727991102E-2</c:v>
                </c:pt>
                <c:pt idx="11">
                  <c:v>5.4382110618518562E-3</c:v>
                </c:pt>
                <c:pt idx="12">
                  <c:v>2.9158567514467998E-3</c:v>
                </c:pt>
                <c:pt idx="13">
                  <c:v>0</c:v>
                </c:pt>
                <c:pt idx="14">
                  <c:v>-9.1309551078489204E-3</c:v>
                </c:pt>
                <c:pt idx="15">
                  <c:v>-8.6237337759926692E-3</c:v>
                </c:pt>
                <c:pt idx="16">
                  <c:v>-1.2275018351904235E-2</c:v>
                </c:pt>
                <c:pt idx="17">
                  <c:v>-4.0336575710981986E-3</c:v>
                </c:pt>
                <c:pt idx="18">
                  <c:v>-1.5938825093872122E-2</c:v>
                </c:pt>
                <c:pt idx="19">
                  <c:v>-1.6922474850104757E-2</c:v>
                </c:pt>
                <c:pt idx="20">
                  <c:v>-4.0827438457106168E-3</c:v>
                </c:pt>
                <c:pt idx="21">
                  <c:v>-1.8658101968550725E-3</c:v>
                </c:pt>
                <c:pt idx="22">
                  <c:v>-2.197975619053833E-3</c:v>
                </c:pt>
                <c:pt idx="23">
                  <c:v>0</c:v>
                </c:pt>
              </c:numCache>
            </c:numRef>
          </c:val>
          <c:smooth val="0"/>
        </c:ser>
        <c:dLbls>
          <c:showLegendKey val="0"/>
          <c:showVal val="0"/>
          <c:showCatName val="0"/>
          <c:showSerName val="0"/>
          <c:showPercent val="0"/>
          <c:showBubbleSize val="0"/>
        </c:dLbls>
        <c:marker val="1"/>
        <c:smooth val="0"/>
        <c:axId val="213894272"/>
        <c:axId val="213896192"/>
      </c:lineChart>
      <c:lineChart>
        <c:grouping val="standard"/>
        <c:varyColors val="0"/>
        <c:ser>
          <c:idx val="2"/>
          <c:order val="2"/>
          <c:tx>
            <c:v>Mite population</c:v>
          </c:tx>
          <c:spPr>
            <a:ln>
              <a:solidFill>
                <a:srgbClr val="FF0000"/>
              </a:solidFill>
            </a:ln>
          </c:spPr>
          <c:marker>
            <c:symbol val="circle"/>
            <c:size val="5"/>
            <c:spPr>
              <a:solidFill>
                <a:srgbClr val="FF0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'!$E$30:$E$54</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47.528153417114936</c:v>
                </c:pt>
                <c:pt idx="8">
                  <c:v>75.712463328523583</c:v>
                </c:pt>
                <c:pt idx="9">
                  <c:v>119.40933612985226</c:v>
                </c:pt>
                <c:pt idx="10">
                  <c:v>182.51496160377994</c:v>
                </c:pt>
                <c:pt idx="11">
                  <c:v>272.8774940069419</c:v>
                </c:pt>
                <c:pt idx="12">
                  <c:v>392.06851709489348</c:v>
                </c:pt>
                <c:pt idx="13">
                  <c:v>550.98031382371255</c:v>
                </c:pt>
                <c:pt idx="14">
                  <c:v>750.81684600505048</c:v>
                </c:pt>
                <c:pt idx="15">
                  <c:v>1011.1193692406275</c:v>
                </c:pt>
                <c:pt idx="16">
                  <c:v>66.376880901445702</c:v>
                </c:pt>
                <c:pt idx="17">
                  <c:v>122.4423356641497</c:v>
                </c:pt>
                <c:pt idx="18">
                  <c:v>207.08824052125479</c:v>
                </c:pt>
                <c:pt idx="19">
                  <c:v>270.94396132282179</c:v>
                </c:pt>
                <c:pt idx="20">
                  <c:v>290.2461156752704</c:v>
                </c:pt>
                <c:pt idx="21">
                  <c:v>306.09622690069557</c:v>
                </c:pt>
                <c:pt idx="22">
                  <c:v>342.59860970292323</c:v>
                </c:pt>
                <c:pt idx="23">
                  <c:v>385.9380875438485</c:v>
                </c:pt>
                <c:pt idx="24">
                  <c:v>345.91708166419932</c:v>
                </c:pt>
              </c:numCache>
            </c:numRef>
          </c:val>
          <c:smooth val="0"/>
        </c:ser>
        <c:dLbls>
          <c:showLegendKey val="0"/>
          <c:showVal val="0"/>
          <c:showCatName val="0"/>
          <c:showSerName val="0"/>
          <c:showPercent val="0"/>
          <c:showBubbleSize val="0"/>
        </c:dLbls>
        <c:marker val="1"/>
        <c:smooth val="0"/>
        <c:axId val="213904000"/>
        <c:axId val="213902464"/>
      </c:lineChart>
      <c:dateAx>
        <c:axId val="213894272"/>
        <c:scaling>
          <c:orientation val="minMax"/>
        </c:scaling>
        <c:delete val="0"/>
        <c:axPos val="b"/>
        <c:numFmt formatCode="[$-409]d\-mmm;@" sourceLinked="1"/>
        <c:majorTickMark val="out"/>
        <c:minorTickMark val="none"/>
        <c:tickLblPos val="low"/>
        <c:txPr>
          <a:bodyPr rot="-2700000"/>
          <a:lstStyle/>
          <a:p>
            <a:pPr>
              <a:defRPr/>
            </a:pPr>
            <a:endParaRPr lang="en-US"/>
          </a:p>
        </c:txPr>
        <c:crossAx val="213896192"/>
        <c:crossesAt val="0"/>
        <c:auto val="1"/>
        <c:lblOffset val="100"/>
        <c:baseTimeUnit val="days"/>
      </c:dateAx>
      <c:valAx>
        <c:axId val="213896192"/>
        <c:scaling>
          <c:orientation val="minMax"/>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213894272"/>
        <c:crosses val="autoZero"/>
        <c:crossBetween val="midCat"/>
      </c:valAx>
      <c:valAx>
        <c:axId val="213902464"/>
        <c:scaling>
          <c:orientation val="minMax"/>
        </c:scaling>
        <c:delete val="0"/>
        <c:axPos val="r"/>
        <c:numFmt formatCode="0" sourceLinked="1"/>
        <c:majorTickMark val="out"/>
        <c:minorTickMark val="none"/>
        <c:tickLblPos val="nextTo"/>
        <c:crossAx val="213904000"/>
        <c:crosses val="max"/>
        <c:crossBetween val="between"/>
      </c:valAx>
      <c:dateAx>
        <c:axId val="213904000"/>
        <c:scaling>
          <c:orientation val="minMax"/>
        </c:scaling>
        <c:delete val="1"/>
        <c:axPos val="b"/>
        <c:numFmt formatCode="[$-409]d\-mmm;@" sourceLinked="1"/>
        <c:majorTickMark val="out"/>
        <c:minorTickMark val="none"/>
        <c:tickLblPos val="nextTo"/>
        <c:crossAx val="213902464"/>
        <c:crosses val="autoZero"/>
        <c:auto val="1"/>
        <c:lblOffset val="100"/>
        <c:baseTimeUnit val="days"/>
        <c:majorUnit val="1"/>
        <c:minorUnit val="1"/>
      </c:dateAx>
    </c:plotArea>
    <c:legend>
      <c:legendPos val="r"/>
      <c:layout>
        <c:manualLayout>
          <c:xMode val="edge"/>
          <c:yMode val="edge"/>
          <c:x val="0.3678582061205844"/>
          <c:y val="0.19793238139728608"/>
          <c:w val="0.286592596091719"/>
          <c:h val="0.13123019587871368"/>
        </c:manualLayout>
      </c:layout>
      <c:overlay val="0"/>
      <c:spPr>
        <a:solidFill>
          <a:schemeClr val="bg1"/>
        </a:solid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1"/>
          <c:order val="0"/>
          <c:tx>
            <c:v>Varroa rate of increase</c:v>
          </c:tx>
          <c:spPr>
            <a:ln>
              <a:solidFill>
                <a:srgbClr val="FF0000"/>
              </a:solidFill>
            </a:ln>
          </c:spPr>
          <c:marker>
            <c:symbol val="circle"/>
            <c:size val="6"/>
            <c:spPr>
              <a:solidFill>
                <a:srgbClr val="FF0000"/>
              </a:solidFill>
              <a:ln>
                <a:noFill/>
              </a:ln>
            </c:spPr>
          </c:marker>
          <c:dLbls>
            <c:delete val="1"/>
          </c:dLbls>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version'!$DC$4:$DC$28</c:f>
              <c:numCache>
                <c:formatCode>0.000</c:formatCode>
                <c:ptCount val="25"/>
                <c:pt idx="0">
                  <c:v>-5.0125418235442863E-3</c:v>
                </c:pt>
                <c:pt idx="1">
                  <c:v>2.0823662100919679E-2</c:v>
                </c:pt>
                <c:pt idx="2">
                  <c:v>2.2065264002602884E-2</c:v>
                </c:pt>
                <c:pt idx="3">
                  <c:v>2.7424563300131304E-2</c:v>
                </c:pt>
                <c:pt idx="4">
                  <c:v>2.9482251264468896E-2</c:v>
                </c:pt>
                <c:pt idx="5">
                  <c:v>3.7407924845798232E-2</c:v>
                </c:pt>
                <c:pt idx="6">
                  <c:v>4.498676952804382E-2</c:v>
                </c:pt>
                <c:pt idx="7">
                  <c:v>5.1143018443206859E-2</c:v>
                </c:pt>
                <c:pt idx="8">
                  <c:v>4.8750503060226928E-2</c:v>
                </c:pt>
                <c:pt idx="9">
                  <c:v>4.5138711588727939E-2</c:v>
                </c:pt>
                <c:pt idx="10">
                  <c:v>4.2157037364144417E-2</c:v>
                </c:pt>
                <c:pt idx="11">
                  <c:v>3.9423314037695847E-2</c:v>
                </c:pt>
                <c:pt idx="12">
                  <c:v>3.7556015607528026E-2</c:v>
                </c:pt>
                <c:pt idx="13">
                  <c:v>3.5293569098724553E-2</c:v>
                </c:pt>
                <c:pt idx="14">
                  <c:v>3.4306858441736046E-2</c:v>
                </c:pt>
                <c:pt idx="15">
                  <c:v>3.4398891497080808E-2</c:v>
                </c:pt>
                <c:pt idx="16">
                  <c:v>3.2726238096280898E-2</c:v>
                </c:pt>
                <c:pt idx="17">
                  <c:v>3.5625275880967873E-2</c:v>
                </c:pt>
                <c:pt idx="18">
                  <c:v>2.8965329265222054E-2</c:v>
                </c:pt>
                <c:pt idx="19">
                  <c:v>2.2112452351758748E-2</c:v>
                </c:pt>
                <c:pt idx="20">
                  <c:v>2.0330665294393976E-2</c:v>
                </c:pt>
                <c:pt idx="21">
                  <c:v>1.7963358016801476E-2</c:v>
                </c:pt>
                <c:pt idx="22">
                  <c:v>1.7329095110840853E-2</c:v>
                </c:pt>
                <c:pt idx="23">
                  <c:v>-5.0125418235442863E-3</c:v>
                </c:pt>
                <c:pt idx="24">
                  <c:v>1.81697769509786E-2</c:v>
                </c:pt>
              </c:numCache>
            </c:numRef>
          </c:val>
          <c:smooth val="0"/>
        </c:ser>
        <c:dLbls>
          <c:showLegendKey val="0"/>
          <c:showVal val="1"/>
          <c:showCatName val="0"/>
          <c:showSerName val="0"/>
          <c:showPercent val="0"/>
          <c:showBubbleSize val="0"/>
        </c:dLbls>
        <c:marker val="1"/>
        <c:smooth val="0"/>
        <c:axId val="218736128"/>
        <c:axId val="218748032"/>
      </c:lineChart>
      <c:lineChart>
        <c:grouping val="standard"/>
        <c:varyColors val="0"/>
        <c:ser>
          <c:idx val="0"/>
          <c:order val="1"/>
          <c:tx>
            <c:strRef>
              <c:f>'r values '!$H$29</c:f>
              <c:strCache>
                <c:ptCount val="1"/>
                <c:pt idx="0">
                  <c:v>Mite pop change independent of treatment</c:v>
                </c:pt>
              </c:strCache>
            </c:strRef>
          </c:tx>
          <c:spPr>
            <a:ln>
              <a:solidFill>
                <a:schemeClr val="tx1"/>
              </a:solidFill>
            </a:ln>
          </c:spPr>
          <c:marker>
            <c:symbol val="circle"/>
            <c:size val="5"/>
            <c:spPr>
              <a:solidFill>
                <a:schemeClr val="tx1"/>
              </a:solidFill>
              <a:ln>
                <a:noFill/>
              </a:ln>
            </c:spPr>
          </c:marker>
          <c:dLbls>
            <c:delete val="1"/>
          </c:dLbls>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'!$H$30:$H$54</c:f>
              <c:numCache>
                <c:formatCode>#,##0</c:formatCode>
                <c:ptCount val="25"/>
                <c:pt idx="0">
                  <c:v>0</c:v>
                </c:pt>
                <c:pt idx="1">
                  <c:v>-7.3399166893701562</c:v>
                </c:pt>
                <c:pt idx="2">
                  <c:v>7.6610001511959069</c:v>
                </c:pt>
                <c:pt idx="3">
                  <c:v>24.09957417495562</c:v>
                </c:pt>
                <c:pt idx="4">
                  <c:v>34.254294628018627</c:v>
                </c:pt>
                <c:pt idx="5">
                  <c:v>51.952516380988811</c:v>
                </c:pt>
                <c:pt idx="6">
                  <c:v>89.671272542147022</c:v>
                </c:pt>
                <c:pt idx="7">
                  <c:v>174.98279298321381</c:v>
                </c:pt>
                <c:pt idx="8">
                  <c:v>28.184309911408647</c:v>
                </c:pt>
                <c:pt idx="9">
                  <c:v>43.696872801328681</c:v>
                </c:pt>
                <c:pt idx="10">
                  <c:v>63.105625473927674</c:v>
                </c:pt>
                <c:pt idx="11">
                  <c:v>90.362532403161964</c:v>
                </c:pt>
                <c:pt idx="12">
                  <c:v>119.19102308795158</c:v>
                </c:pt>
                <c:pt idx="13">
                  <c:v>158.91179672881907</c:v>
                </c:pt>
                <c:pt idx="14">
                  <c:v>199.83653218133793</c:v>
                </c:pt>
                <c:pt idx="15">
                  <c:v>260.30252323557704</c:v>
                </c:pt>
                <c:pt idx="16">
                  <c:v>316.41824878828675</c:v>
                </c:pt>
                <c:pt idx="17">
                  <c:v>56.065454762703993</c:v>
                </c:pt>
                <c:pt idx="18">
                  <c:v>84.645904857105094</c:v>
                </c:pt>
                <c:pt idx="19">
                  <c:v>63.855720801567003</c:v>
                </c:pt>
                <c:pt idx="20">
                  <c:v>19.302154352448611</c:v>
                </c:pt>
                <c:pt idx="21">
                  <c:v>15.850111225425167</c:v>
                </c:pt>
                <c:pt idx="22">
                  <c:v>36.502382802227658</c:v>
                </c:pt>
                <c:pt idx="23">
                  <c:v>43.339477840925269</c:v>
                </c:pt>
                <c:pt idx="24">
                  <c:v>-40.021005879649181</c:v>
                </c:pt>
              </c:numCache>
            </c:numRef>
          </c:val>
          <c:smooth val="0"/>
        </c:ser>
        <c:ser>
          <c:idx val="2"/>
          <c:order val="2"/>
          <c:tx>
            <c:v>Treatment</c:v>
          </c:tx>
          <c:marker>
            <c:symbol val="triangle"/>
            <c:size val="8"/>
            <c:spPr>
              <a:solidFill>
                <a:srgbClr val="FF0000"/>
              </a:solidFill>
              <a:ln>
                <a:solidFill>
                  <a:schemeClr val="tx1"/>
                </a:solidFill>
              </a:ln>
            </c:spPr>
          </c:marker>
          <c:dLbls>
            <c:dLbl>
              <c:idx val="16"/>
              <c:tx>
                <c:rich>
                  <a:bodyPr/>
                  <a:lstStyle/>
                  <a:p>
                    <a:r>
                      <a:rPr lang="en-US" b="0"/>
                      <a:t>95%</a:t>
                    </a:r>
                  </a:p>
                </c:rich>
              </c:tx>
              <c:dLblPos val="t"/>
              <c:showLegendKey val="0"/>
              <c:showVal val="1"/>
              <c:showCatName val="0"/>
              <c:showSerName val="0"/>
              <c:showPercent val="0"/>
              <c:showBubbleSize val="0"/>
            </c:dLbl>
            <c:dLblPos val="t"/>
            <c:showLegendKey val="0"/>
            <c:showVal val="1"/>
            <c:showCatName val="0"/>
            <c:showSerName val="0"/>
            <c:showPercent val="0"/>
            <c:showBubbleSize val="0"/>
            <c:showLeaderLines val="0"/>
          </c:dLbls>
          <c:val>
            <c:numRef>
              <c:f>'Current version'!$D$20:$AA$20</c:f>
              <c:numCache>
                <c:formatCode>0%</c:formatCode>
                <c:ptCount val="24"/>
                <c:pt idx="5">
                  <c:v>0.9</c:v>
                </c:pt>
                <c:pt idx="14">
                  <c:v>0.95</c:v>
                </c:pt>
              </c:numCache>
            </c:numRef>
          </c:val>
          <c:smooth val="0"/>
        </c:ser>
        <c:dLbls>
          <c:showLegendKey val="0"/>
          <c:showVal val="1"/>
          <c:showCatName val="0"/>
          <c:showSerName val="0"/>
          <c:showPercent val="0"/>
          <c:showBubbleSize val="0"/>
        </c:dLbls>
        <c:marker val="1"/>
        <c:smooth val="0"/>
        <c:axId val="219137152"/>
        <c:axId val="218749952"/>
      </c:lineChart>
      <c:dateAx>
        <c:axId val="218736128"/>
        <c:scaling>
          <c:orientation val="minMax"/>
        </c:scaling>
        <c:delete val="0"/>
        <c:axPos val="b"/>
        <c:numFmt formatCode="[$-409]d\-mmm;@" sourceLinked="1"/>
        <c:majorTickMark val="out"/>
        <c:minorTickMark val="none"/>
        <c:tickLblPos val="low"/>
        <c:txPr>
          <a:bodyPr rot="0" vert="horz"/>
          <a:lstStyle/>
          <a:p>
            <a:pPr>
              <a:defRPr/>
            </a:pPr>
            <a:endParaRPr lang="en-US"/>
          </a:p>
        </c:txPr>
        <c:crossAx val="218748032"/>
        <c:crossesAt val="0"/>
        <c:auto val="1"/>
        <c:lblOffset val="100"/>
        <c:baseTimeUnit val="days"/>
      </c:dateAx>
      <c:valAx>
        <c:axId val="218748032"/>
        <c:scaling>
          <c:orientation val="minMax"/>
        </c:scaling>
        <c:delete val="0"/>
        <c:axPos val="l"/>
        <c:majorGridlines/>
        <c:title>
          <c:tx>
            <c:rich>
              <a:bodyPr rot="-5400000" vert="horz"/>
              <a:lstStyle/>
              <a:p>
                <a:pPr>
                  <a:defRPr sz="1200" b="0">
                    <a:solidFill>
                      <a:srgbClr val="FF0000"/>
                    </a:solidFill>
                  </a:defRPr>
                </a:pPr>
                <a:r>
                  <a:rPr lang="en-US" sz="1200" b="0">
                    <a:solidFill>
                      <a:srgbClr val="FF0000"/>
                    </a:solidFill>
                  </a:rPr>
                  <a:t>Varroa r value</a:t>
                </a:r>
              </a:p>
            </c:rich>
          </c:tx>
          <c:overlay val="0"/>
        </c:title>
        <c:numFmt formatCode="0.000" sourceLinked="1"/>
        <c:majorTickMark val="out"/>
        <c:minorTickMark val="none"/>
        <c:tickLblPos val="nextTo"/>
        <c:crossAx val="218736128"/>
        <c:crosses val="autoZero"/>
        <c:crossBetween val="midCat"/>
      </c:valAx>
      <c:valAx>
        <c:axId val="218749952"/>
        <c:scaling>
          <c:orientation val="minMax"/>
        </c:scaling>
        <c:delete val="0"/>
        <c:axPos val="r"/>
        <c:title>
          <c:tx>
            <c:rich>
              <a:bodyPr rot="-5400000" vert="horz"/>
              <a:lstStyle/>
              <a:p>
                <a:pPr>
                  <a:defRPr/>
                </a:pPr>
                <a:r>
                  <a:rPr lang="en-US"/>
                  <a:t>Change in mite pop other than those lost to treatment</a:t>
                </a:r>
              </a:p>
            </c:rich>
          </c:tx>
          <c:overlay val="0"/>
        </c:title>
        <c:numFmt formatCode="#,##0" sourceLinked="1"/>
        <c:majorTickMark val="out"/>
        <c:minorTickMark val="none"/>
        <c:tickLblPos val="nextTo"/>
        <c:crossAx val="219137152"/>
        <c:crosses val="max"/>
        <c:crossBetween val="between"/>
      </c:valAx>
      <c:dateAx>
        <c:axId val="219137152"/>
        <c:scaling>
          <c:orientation val="minMax"/>
        </c:scaling>
        <c:delete val="1"/>
        <c:axPos val="b"/>
        <c:numFmt formatCode="d\ mmm" sourceLinked="1"/>
        <c:majorTickMark val="out"/>
        <c:minorTickMark val="none"/>
        <c:tickLblPos val="nextTo"/>
        <c:crossAx val="218749952"/>
        <c:crosses val="autoZero"/>
        <c:auto val="1"/>
        <c:lblOffset val="100"/>
        <c:baseTimeUnit val="days"/>
        <c:majorUnit val="1"/>
        <c:minorUnit val="1"/>
      </c:dateAx>
    </c:plotArea>
    <c:legend>
      <c:legendPos val="r"/>
      <c:layout>
        <c:manualLayout>
          <c:xMode val="edge"/>
          <c:yMode val="edge"/>
          <c:x val="0.13301456438038542"/>
          <c:y val="0.27106192395937134"/>
          <c:w val="0.41314791438017939"/>
          <c:h val="0.10731378565449197"/>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31.295746204334506</c:v>
                </c:pt>
                <c:pt idx="8">
                  <c:v>47.715156184728393</c:v>
                </c:pt>
                <c:pt idx="9">
                  <c:v>70.161037555520153</c:v>
                </c:pt>
                <c:pt idx="10">
                  <c:v>105.65572874954982</c:v>
                </c:pt>
                <c:pt idx="11">
                  <c:v>148.59544208395744</c:v>
                </c:pt>
                <c:pt idx="12">
                  <c:v>204.10325085027694</c:v>
                </c:pt>
                <c:pt idx="13">
                  <c:v>270.56244927801981</c:v>
                </c:pt>
                <c:pt idx="14">
                  <c:v>357.94232395976746</c:v>
                </c:pt>
                <c:pt idx="15">
                  <c:v>479.45810763486577</c:v>
                </c:pt>
                <c:pt idx="16">
                  <c:v>35.21833500677328</c:v>
                </c:pt>
                <c:pt idx="17">
                  <c:v>69.85994068778129</c:v>
                </c:pt>
                <c:pt idx="18">
                  <c:v>106.88090322659328</c:v>
                </c:pt>
                <c:pt idx="19">
                  <c:v>108.17359011117236</c:v>
                </c:pt>
                <c:pt idx="20">
                  <c:v>103.9229519313851</c:v>
                </c:pt>
                <c:pt idx="21">
                  <c:v>92.350520312394764</c:v>
                </c:pt>
                <c:pt idx="22">
                  <c:v>95.226268526163025</c:v>
                </c:pt>
                <c:pt idx="23">
                  <c:v>0</c:v>
                </c:pt>
                <c:pt idx="24">
                  <c:v>103.09930535240554</c:v>
                </c:pt>
              </c:numCache>
            </c:numRef>
          </c:val>
        </c:ser>
        <c:dLbls>
          <c:showLegendKey val="0"/>
          <c:showVal val="0"/>
          <c:showCatName val="0"/>
          <c:showSerName val="0"/>
          <c:showPercent val="0"/>
          <c:showBubbleSize val="0"/>
        </c:dLbls>
        <c:axId val="220660096"/>
        <c:axId val="220661632"/>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220686208"/>
        <c:axId val="22068428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47.528153417114936</c:v>
                </c:pt>
                <c:pt idx="8">
                  <c:v>75.712463328523583</c:v>
                </c:pt>
                <c:pt idx="9">
                  <c:v>119.40933612985226</c:v>
                </c:pt>
                <c:pt idx="10">
                  <c:v>182.51496160377994</c:v>
                </c:pt>
                <c:pt idx="11">
                  <c:v>272.8774940069419</c:v>
                </c:pt>
                <c:pt idx="12">
                  <c:v>392.06851709489348</c:v>
                </c:pt>
                <c:pt idx="13">
                  <c:v>550.98031382371255</c:v>
                </c:pt>
                <c:pt idx="14">
                  <c:v>750.81684600505048</c:v>
                </c:pt>
                <c:pt idx="15">
                  <c:v>1011.1193692406275</c:v>
                </c:pt>
                <c:pt idx="16">
                  <c:v>66.376880901445702</c:v>
                </c:pt>
                <c:pt idx="17">
                  <c:v>122.4423356641497</c:v>
                </c:pt>
                <c:pt idx="18">
                  <c:v>207.08824052125479</c:v>
                </c:pt>
                <c:pt idx="19">
                  <c:v>270.94396132282179</c:v>
                </c:pt>
                <c:pt idx="20">
                  <c:v>290.2461156752704</c:v>
                </c:pt>
                <c:pt idx="21">
                  <c:v>306.09622690069557</c:v>
                </c:pt>
                <c:pt idx="22">
                  <c:v>342.59860970292323</c:v>
                </c:pt>
                <c:pt idx="23">
                  <c:v>385.9380875438485</c:v>
                </c:pt>
                <c:pt idx="24">
                  <c:v>345.91708166419932</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20660096"/>
        <c:axId val="220661632"/>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0.20159762222785849</c:v>
                </c:pt>
                <c:pt idx="8">
                  <c:v>0.2697962228226764</c:v>
                </c:pt>
                <c:pt idx="9">
                  <c:v>0.37530574363797831</c:v>
                </c:pt>
                <c:pt idx="10">
                  <c:v>0.50083106970590241</c:v>
                </c:pt>
                <c:pt idx="11">
                  <c:v>0.72242302116626456</c:v>
                </c:pt>
                <c:pt idx="12">
                  <c:v>1.0196129127206304</c:v>
                </c:pt>
                <c:pt idx="13">
                  <c:v>1.4869418282466083</c:v>
                </c:pt>
                <c:pt idx="14">
                  <c:v>2.0924374099709273</c:v>
                </c:pt>
                <c:pt idx="15">
                  <c:v>3.1926763787235175</c:v>
                </c:pt>
                <c:pt idx="16">
                  <c:v>0.24174330683914425</c:v>
                </c:pt>
                <c:pt idx="17">
                  <c:v>0.47763508569329155</c:v>
                </c:pt>
                <c:pt idx="18">
                  <c:v>1.0409220755267827</c:v>
                </c:pt>
                <c:pt idx="19">
                  <c:v>2.0762449465340977</c:v>
                </c:pt>
                <c:pt idx="20">
                  <c:v>3.1043922184044903</c:v>
                </c:pt>
                <c:pt idx="21">
                  <c:v>3.6724991408937666</c:v>
                </c:pt>
                <c:pt idx="22">
                  <c:v>4.2986535678448243</c:v>
                </c:pt>
                <c:pt idx="23">
                  <c:v>7.5981560985195173</c:v>
                </c:pt>
                <c:pt idx="24">
                  <c:v>4.3880883852641848</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6.1850846464397407E-3</c:v>
                </c:pt>
              </c:numCache>
            </c:numRef>
          </c:val>
          <c:smooth val="0"/>
        </c:ser>
        <c:dLbls>
          <c:showLegendKey val="0"/>
          <c:showVal val="0"/>
          <c:showCatName val="0"/>
          <c:showSerName val="0"/>
          <c:showPercent val="0"/>
          <c:showBubbleSize val="0"/>
        </c:dLbls>
        <c:marker val="1"/>
        <c:smooth val="0"/>
        <c:axId val="220686208"/>
        <c:axId val="220684288"/>
      </c:lineChart>
      <c:dateAx>
        <c:axId val="220660096"/>
        <c:scaling>
          <c:orientation val="minMax"/>
        </c:scaling>
        <c:delete val="0"/>
        <c:axPos val="b"/>
        <c:numFmt formatCode="[$-409]d\-mmm;@" sourceLinked="1"/>
        <c:majorTickMark val="out"/>
        <c:minorTickMark val="none"/>
        <c:tickLblPos val="nextTo"/>
        <c:crossAx val="220661632"/>
        <c:crosses val="autoZero"/>
        <c:auto val="1"/>
        <c:lblOffset val="100"/>
        <c:baseTimeUnit val="days"/>
        <c:majorUnit val="1"/>
        <c:majorTimeUnit val="months"/>
        <c:minorUnit val="1"/>
        <c:minorTimeUnit val="months"/>
      </c:dateAx>
      <c:valAx>
        <c:axId val="220661632"/>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20660096"/>
        <c:crossesAt val="40544"/>
        <c:crossBetween val="midCat"/>
      </c:valAx>
      <c:valAx>
        <c:axId val="220684288"/>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20686208"/>
        <c:crosses val="max"/>
        <c:crossBetween val="between"/>
      </c:valAx>
      <c:dateAx>
        <c:axId val="220686208"/>
        <c:scaling>
          <c:orientation val="minMax"/>
        </c:scaling>
        <c:delete val="1"/>
        <c:axPos val="b"/>
        <c:numFmt formatCode="[$-409]d\-mmm;@" sourceLinked="1"/>
        <c:majorTickMark val="out"/>
        <c:minorTickMark val="none"/>
        <c:tickLblPos val="none"/>
        <c:crossAx val="22068428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8"/>
          <c:y val="0.1800425262667659"/>
          <c:w val="0.81578998392407998"/>
          <c:h val="0.67565581962372301"/>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reduction'!$E$18:$E$30</c:f>
              <c:numCache>
                <c:formatCode>0%</c:formatCode>
                <c:ptCount val="13"/>
              </c:numCache>
            </c:numRef>
          </c:val>
          <c:smooth val="0"/>
        </c:ser>
        <c:ser>
          <c:idx val="2"/>
          <c:order val="2"/>
          <c:tx>
            <c:v>Start</c:v>
          </c:tx>
          <c:spPr>
            <a:ln w="19050">
              <a:solidFill>
                <a:srgbClr val="0070C0"/>
              </a:solidFill>
              <a:prstDash val="sysDash"/>
            </a:ln>
          </c:spPr>
          <c:marker>
            <c:symbol val="none"/>
          </c:marker>
          <c:dLbls>
            <c:dLbl>
              <c:idx val="6"/>
              <c:layout>
                <c:manualLayout>
                  <c:x val="0.10686808850704635"/>
                  <c:y val="3.2364612536990803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235517440"/>
        <c:axId val="235519360"/>
      </c:lineChart>
      <c:catAx>
        <c:axId val="235517440"/>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235519360"/>
        <c:crosses val="autoZero"/>
        <c:auto val="1"/>
        <c:lblAlgn val="ctr"/>
        <c:lblOffset val="100"/>
        <c:noMultiLvlLbl val="0"/>
      </c:catAx>
      <c:valAx>
        <c:axId val="235519360"/>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0&quot;x&quot;" sourceLinked="0"/>
        <c:majorTickMark val="out"/>
        <c:minorTickMark val="none"/>
        <c:tickLblPos val="nextTo"/>
        <c:crossAx val="235517440"/>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243617792"/>
        <c:axId val="243620096"/>
      </c:lineChart>
      <c:catAx>
        <c:axId val="243617792"/>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243620096"/>
        <c:crosses val="autoZero"/>
        <c:auto val="1"/>
        <c:lblAlgn val="ctr"/>
        <c:lblOffset val="100"/>
        <c:noMultiLvlLbl val="0"/>
      </c:catAx>
      <c:valAx>
        <c:axId val="243620096"/>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243617792"/>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60672016572641052"/>
          <c:h val="0.68850843966162567"/>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-7.3399166893701517E-2</c:v>
                </c:pt>
                <c:pt idx="2">
                  <c:v>8.2678537267374175E-2</c:v>
                </c:pt>
                <c:pt idx="3">
                  <c:v>0.24022442086289875</c:v>
                </c:pt>
                <c:pt idx="4">
                  <c:v>0.27531034860799775</c:v>
                </c:pt>
                <c:pt idx="5">
                  <c:v>0.32741472828231521</c:v>
                </c:pt>
                <c:pt idx="6">
                  <c:v>0.42573398958208419</c:v>
                </c:pt>
                <c:pt idx="7">
                  <c:v>-0.841730427410049</c:v>
                </c:pt>
                <c:pt idx="8">
                  <c:v>0.59300241825215649</c:v>
                </c:pt>
                <c:pt idx="9">
                  <c:v>0.57714240007914941</c:v>
                </c:pt>
                <c:pt idx="10">
                  <c:v>0.52848150336673139</c:v>
                </c:pt>
                <c:pt idx="11">
                  <c:v>0.4950965751472427</c:v>
                </c:pt>
                <c:pt idx="12">
                  <c:v>0.43679316068814167</c:v>
                </c:pt>
                <c:pt idx="13">
                  <c:v>0.40531639190595148</c:v>
                </c:pt>
                <c:pt idx="14">
                  <c:v>0.36269269004278093</c:v>
                </c:pt>
                <c:pt idx="15">
                  <c:v>0.34669243853623666</c:v>
                </c:pt>
                <c:pt idx="16">
                  <c:v>-0.93435307153566227</c:v>
                </c:pt>
                <c:pt idx="17">
                  <c:v>0.84465334919771551</c:v>
                </c:pt>
                <c:pt idx="18">
                  <c:v>0.69131239940801659</c:v>
                </c:pt>
                <c:pt idx="19">
                  <c:v>0.30835029860139773</c:v>
                </c:pt>
                <c:pt idx="20">
                  <c:v>7.1240393246670974E-2</c:v>
                </c:pt>
                <c:pt idx="21">
                  <c:v>5.4609210492099658E-2</c:v>
                </c:pt>
                <c:pt idx="22">
                  <c:v>0.11925133207888194</c:v>
                </c:pt>
                <c:pt idx="23">
                  <c:v>0.12650219998997114</c:v>
                </c:pt>
                <c:pt idx="24">
                  <c:v>-0.10369799501870147</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244046848"/>
        <c:axId val="244065408"/>
      </c:lineChart>
      <c:dateAx>
        <c:axId val="244046848"/>
        <c:scaling>
          <c:orientation val="minMax"/>
        </c:scaling>
        <c:delete val="0"/>
        <c:axPos val="b"/>
        <c:numFmt formatCode="[$-409]d\-mmm;@" sourceLinked="1"/>
        <c:majorTickMark val="out"/>
        <c:minorTickMark val="none"/>
        <c:tickLblPos val="low"/>
        <c:crossAx val="244065408"/>
        <c:crosses val="autoZero"/>
        <c:auto val="1"/>
        <c:lblOffset val="100"/>
        <c:baseTimeUnit val="days"/>
      </c:dateAx>
      <c:valAx>
        <c:axId val="244065408"/>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244046848"/>
        <c:crosses val="autoZero"/>
        <c:crossBetween val="midCat"/>
      </c:valAx>
    </c:plotArea>
    <c:legend>
      <c:legendPos val="r"/>
      <c:layout>
        <c:manualLayout>
          <c:xMode val="edge"/>
          <c:yMode val="edge"/>
          <c:x val="0.3678582061205844"/>
          <c:y val="0.19793238139728608"/>
          <c:w val="0.37246127154575043"/>
          <c:h val="0.11903755776060516"/>
        </c:manualLayout>
      </c:layout>
      <c:overlay val="0"/>
      <c:spPr>
        <a:no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401963648"/>
        <c:axId val="402130432"/>
      </c:scatterChart>
      <c:valAx>
        <c:axId val="401963648"/>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402130432"/>
        <c:crosses val="autoZero"/>
        <c:crossBetween val="midCat"/>
      </c:valAx>
      <c:valAx>
        <c:axId val="402130432"/>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401963648"/>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47.528153417114936</c:v>
                </c:pt>
                <c:pt idx="8">
                  <c:v>75.712463328523583</c:v>
                </c:pt>
                <c:pt idx="9">
                  <c:v>119.40933612985226</c:v>
                </c:pt>
                <c:pt idx="10">
                  <c:v>182.51496160377994</c:v>
                </c:pt>
                <c:pt idx="11">
                  <c:v>272.8774940069419</c:v>
                </c:pt>
                <c:pt idx="12">
                  <c:v>392.06851709489348</c:v>
                </c:pt>
                <c:pt idx="13">
                  <c:v>550.98031382371255</c:v>
                </c:pt>
                <c:pt idx="14">
                  <c:v>750.81684600505048</c:v>
                </c:pt>
                <c:pt idx="15">
                  <c:v>1011.1193692406275</c:v>
                </c:pt>
                <c:pt idx="16">
                  <c:v>66.376880901445702</c:v>
                </c:pt>
                <c:pt idx="17">
                  <c:v>122.4423356641497</c:v>
                </c:pt>
                <c:pt idx="18">
                  <c:v>207.08824052125479</c:v>
                </c:pt>
                <c:pt idx="19">
                  <c:v>270.94396132282179</c:v>
                </c:pt>
                <c:pt idx="20">
                  <c:v>290.2461156752704</c:v>
                </c:pt>
                <c:pt idx="21">
                  <c:v>306.09622690069557</c:v>
                </c:pt>
                <c:pt idx="22">
                  <c:v>342.59860970292323</c:v>
                </c:pt>
                <c:pt idx="23">
                  <c:v>385.9380875438485</c:v>
                </c:pt>
                <c:pt idx="24">
                  <c:v>345.91708166419932</c:v>
                </c:pt>
              </c:numCache>
            </c:numRef>
          </c:val>
          <c:smooth val="0"/>
        </c:ser>
        <c:dLbls>
          <c:showLegendKey val="0"/>
          <c:showVal val="0"/>
          <c:showCatName val="0"/>
          <c:showSerName val="0"/>
          <c:showPercent val="0"/>
          <c:showBubbleSize val="0"/>
        </c:dLbls>
        <c:marker val="1"/>
        <c:smooth val="0"/>
        <c:axId val="244109312"/>
        <c:axId val="244111232"/>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-5.0125418235442759E-3</c:v>
                </c:pt>
                <c:pt idx="1">
                  <c:v>5.2233269783675549E-3</c:v>
                </c:pt>
                <c:pt idx="2">
                  <c:v>1.4156209170941484E-2</c:v>
                </c:pt>
                <c:pt idx="3">
                  <c:v>1.5990546388849801E-2</c:v>
                </c:pt>
                <c:pt idx="4">
                  <c:v>1.862355532637135E-2</c:v>
                </c:pt>
                <c:pt idx="5">
                  <c:v>2.3321869250677113E-2</c:v>
                </c:pt>
                <c:pt idx="6">
                  <c:v>-0.12121351523195734</c:v>
                </c:pt>
                <c:pt idx="7">
                  <c:v>3.0616145686081425E-2</c:v>
                </c:pt>
                <c:pt idx="8">
                  <c:v>2.9958220404736884E-2</c:v>
                </c:pt>
                <c:pt idx="9">
                  <c:v>2.7897518538664345E-2</c:v>
                </c:pt>
                <c:pt idx="10">
                  <c:v>2.6445422697004086E-2</c:v>
                </c:pt>
                <c:pt idx="11">
                  <c:v>2.3829939186039102E-2</c:v>
                </c:pt>
                <c:pt idx="12">
                  <c:v>2.2373422514163462E-2</c:v>
                </c:pt>
                <c:pt idx="13">
                  <c:v>2.0348229793345128E-2</c:v>
                </c:pt>
                <c:pt idx="14">
                  <c:v>1.9571608152245738E-2</c:v>
                </c:pt>
                <c:pt idx="15">
                  <c:v>-0.17907711556322403</c:v>
                </c:pt>
                <c:pt idx="16">
                  <c:v>4.0260254677866425E-2</c:v>
                </c:pt>
                <c:pt idx="17">
                  <c:v>3.4553739962258849E-2</c:v>
                </c:pt>
                <c:pt idx="18">
                  <c:v>1.7672352629001273E-2</c:v>
                </c:pt>
                <c:pt idx="19">
                  <c:v>4.524968093714072E-3</c:v>
                </c:pt>
                <c:pt idx="20">
                  <c:v>3.4961281125495116E-3</c:v>
                </c:pt>
                <c:pt idx="21">
                  <c:v>7.4077813671025805E-3</c:v>
                </c:pt>
                <c:pt idx="22">
                  <c:v>7.8323792108036701E-3</c:v>
                </c:pt>
                <c:pt idx="23">
                  <c:v>-7.198544460359068E-3</c:v>
                </c:pt>
                <c:pt idx="24">
                  <c:v>8.2783445227279442E-3</c:v>
                </c:pt>
              </c:numCache>
            </c:numRef>
          </c:val>
          <c:smooth val="0"/>
        </c:ser>
        <c:dLbls>
          <c:showLegendKey val="0"/>
          <c:showVal val="0"/>
          <c:showCatName val="0"/>
          <c:showSerName val="0"/>
          <c:showPercent val="0"/>
          <c:showBubbleSize val="0"/>
        </c:dLbls>
        <c:marker val="1"/>
        <c:smooth val="0"/>
        <c:axId val="244180864"/>
        <c:axId val="244178944"/>
      </c:lineChart>
      <c:dateAx>
        <c:axId val="244109312"/>
        <c:scaling>
          <c:orientation val="minMax"/>
        </c:scaling>
        <c:delete val="0"/>
        <c:axPos val="b"/>
        <c:numFmt formatCode="d\ mmm" sourceLinked="1"/>
        <c:majorTickMark val="out"/>
        <c:minorTickMark val="none"/>
        <c:tickLblPos val="nextTo"/>
        <c:txPr>
          <a:bodyPr rot="0" vert="horz"/>
          <a:lstStyle/>
          <a:p>
            <a:pPr>
              <a:defRPr/>
            </a:pPr>
            <a:endParaRPr lang="en-US"/>
          </a:p>
        </c:txPr>
        <c:crossAx val="244111232"/>
        <c:crosses val="autoZero"/>
        <c:auto val="1"/>
        <c:lblOffset val="100"/>
        <c:baseTimeUnit val="days"/>
      </c:dateAx>
      <c:valAx>
        <c:axId val="244111232"/>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244109312"/>
        <c:crosses val="autoZero"/>
        <c:crossBetween val="midCat"/>
      </c:valAx>
      <c:valAx>
        <c:axId val="244178944"/>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244180864"/>
        <c:crosses val="max"/>
        <c:crossBetween val="between"/>
      </c:valAx>
      <c:catAx>
        <c:axId val="244180864"/>
        <c:scaling>
          <c:orientation val="minMax"/>
        </c:scaling>
        <c:delete val="1"/>
        <c:axPos val="b"/>
        <c:numFmt formatCode="[$-409]d\-mmm;@" sourceLinked="1"/>
        <c:majorTickMark val="out"/>
        <c:minorTickMark val="none"/>
        <c:tickLblPos val="none"/>
        <c:crossAx val="244178944"/>
        <c:crosses val="autoZero"/>
        <c:auto val="1"/>
        <c:lblAlgn val="ctr"/>
        <c:lblOffset val="100"/>
        <c:noMultiLvlLbl val="1"/>
      </c:catAx>
    </c:plotArea>
    <c:legend>
      <c:legendPos val="r"/>
      <c:layout>
        <c:manualLayout>
          <c:xMode val="edge"/>
          <c:yMode val="edge"/>
          <c:x val="0.29176259261948018"/>
          <c:y val="0.49600406667054864"/>
          <c:w val="0.23521057537213991"/>
          <c:h val="0.10169023208671259"/>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31.295746204334506</c:v>
                </c:pt>
                <c:pt idx="8">
                  <c:v>47.715156184728393</c:v>
                </c:pt>
                <c:pt idx="9">
                  <c:v>70.161037555520153</c:v>
                </c:pt>
                <c:pt idx="10">
                  <c:v>105.65572874954982</c:v>
                </c:pt>
                <c:pt idx="11">
                  <c:v>148.59544208395744</c:v>
                </c:pt>
                <c:pt idx="12">
                  <c:v>204.10325085027694</c:v>
                </c:pt>
                <c:pt idx="13">
                  <c:v>270.56244927801981</c:v>
                </c:pt>
                <c:pt idx="14">
                  <c:v>357.94232395976746</c:v>
                </c:pt>
                <c:pt idx="15">
                  <c:v>479.45810763486577</c:v>
                </c:pt>
                <c:pt idx="16">
                  <c:v>35.21833500677328</c:v>
                </c:pt>
                <c:pt idx="17">
                  <c:v>69.85994068778129</c:v>
                </c:pt>
                <c:pt idx="18">
                  <c:v>106.88090322659328</c:v>
                </c:pt>
                <c:pt idx="19">
                  <c:v>108.17359011117236</c:v>
                </c:pt>
                <c:pt idx="20">
                  <c:v>103.9229519313851</c:v>
                </c:pt>
                <c:pt idx="21">
                  <c:v>92.350520312394764</c:v>
                </c:pt>
                <c:pt idx="22">
                  <c:v>95.226268526163025</c:v>
                </c:pt>
                <c:pt idx="23">
                  <c:v>0</c:v>
                </c:pt>
                <c:pt idx="24">
                  <c:v>103.09930535240554</c:v>
                </c:pt>
              </c:numCache>
            </c:numRef>
          </c:val>
        </c:ser>
        <c:dLbls>
          <c:showLegendKey val="0"/>
          <c:showVal val="0"/>
          <c:showCatName val="0"/>
          <c:showSerName val="0"/>
          <c:showPercent val="0"/>
          <c:showBubbleSize val="0"/>
        </c:dLbls>
        <c:axId val="260523520"/>
        <c:axId val="260525056"/>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260545536"/>
        <c:axId val="26054361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47.528153417114936</c:v>
                </c:pt>
                <c:pt idx="8">
                  <c:v>75.712463328523583</c:v>
                </c:pt>
                <c:pt idx="9">
                  <c:v>119.40933612985226</c:v>
                </c:pt>
                <c:pt idx="10">
                  <c:v>182.51496160377994</c:v>
                </c:pt>
                <c:pt idx="11">
                  <c:v>272.8774940069419</c:v>
                </c:pt>
                <c:pt idx="12">
                  <c:v>392.06851709489348</c:v>
                </c:pt>
                <c:pt idx="13">
                  <c:v>550.98031382371255</c:v>
                </c:pt>
                <c:pt idx="14">
                  <c:v>750.81684600505048</c:v>
                </c:pt>
                <c:pt idx="15">
                  <c:v>1011.1193692406275</c:v>
                </c:pt>
                <c:pt idx="16">
                  <c:v>66.376880901445702</c:v>
                </c:pt>
                <c:pt idx="17">
                  <c:v>122.4423356641497</c:v>
                </c:pt>
                <c:pt idx="18">
                  <c:v>207.08824052125479</c:v>
                </c:pt>
                <c:pt idx="19">
                  <c:v>270.94396132282179</c:v>
                </c:pt>
                <c:pt idx="20">
                  <c:v>290.2461156752704</c:v>
                </c:pt>
                <c:pt idx="21">
                  <c:v>306.09622690069557</c:v>
                </c:pt>
                <c:pt idx="22">
                  <c:v>342.59860970292323</c:v>
                </c:pt>
                <c:pt idx="23">
                  <c:v>385.9380875438485</c:v>
                </c:pt>
                <c:pt idx="24">
                  <c:v>345.91708166419932</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60523520"/>
        <c:axId val="260525056"/>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0.20159762222785849</c:v>
                </c:pt>
                <c:pt idx="8">
                  <c:v>0.2697962228226764</c:v>
                </c:pt>
                <c:pt idx="9">
                  <c:v>0.37530574363797831</c:v>
                </c:pt>
                <c:pt idx="10">
                  <c:v>0.50083106970590241</c:v>
                </c:pt>
                <c:pt idx="11">
                  <c:v>0.72242302116626456</c:v>
                </c:pt>
                <c:pt idx="12">
                  <c:v>1.0196129127206304</c:v>
                </c:pt>
                <c:pt idx="13">
                  <c:v>1.4869418282466083</c:v>
                </c:pt>
                <c:pt idx="14">
                  <c:v>2.0924374099709273</c:v>
                </c:pt>
                <c:pt idx="15">
                  <c:v>3.1926763787235175</c:v>
                </c:pt>
                <c:pt idx="16">
                  <c:v>0.24174330683914425</c:v>
                </c:pt>
                <c:pt idx="17">
                  <c:v>0.47763508569329155</c:v>
                </c:pt>
                <c:pt idx="18">
                  <c:v>1.0409220755267827</c:v>
                </c:pt>
                <c:pt idx="19">
                  <c:v>2.0762449465340977</c:v>
                </c:pt>
                <c:pt idx="20">
                  <c:v>3.1043922184044903</c:v>
                </c:pt>
                <c:pt idx="21">
                  <c:v>3.6724991408937666</c:v>
                </c:pt>
                <c:pt idx="22">
                  <c:v>4.2986535678448243</c:v>
                </c:pt>
                <c:pt idx="23">
                  <c:v>7.5981560985195173</c:v>
                </c:pt>
                <c:pt idx="24">
                  <c:v>4.3880883852641848</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6.1850846464397407E-3</c:v>
                </c:pt>
              </c:numCache>
            </c:numRef>
          </c:val>
          <c:smooth val="0"/>
        </c:ser>
        <c:dLbls>
          <c:showLegendKey val="0"/>
          <c:showVal val="0"/>
          <c:showCatName val="0"/>
          <c:showSerName val="0"/>
          <c:showPercent val="0"/>
          <c:showBubbleSize val="0"/>
        </c:dLbls>
        <c:marker val="1"/>
        <c:smooth val="0"/>
        <c:axId val="260545536"/>
        <c:axId val="260543616"/>
      </c:lineChart>
      <c:dateAx>
        <c:axId val="260523520"/>
        <c:scaling>
          <c:orientation val="minMax"/>
        </c:scaling>
        <c:delete val="0"/>
        <c:axPos val="b"/>
        <c:numFmt formatCode="[$-409]d\-mmm;@" sourceLinked="1"/>
        <c:majorTickMark val="out"/>
        <c:minorTickMark val="none"/>
        <c:tickLblPos val="nextTo"/>
        <c:crossAx val="260525056"/>
        <c:crosses val="autoZero"/>
        <c:auto val="1"/>
        <c:lblOffset val="100"/>
        <c:baseTimeUnit val="days"/>
        <c:majorUnit val="1"/>
        <c:majorTimeUnit val="months"/>
        <c:minorUnit val="1"/>
        <c:minorTimeUnit val="months"/>
      </c:dateAx>
      <c:valAx>
        <c:axId val="260525056"/>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60523520"/>
        <c:crossesAt val="40544"/>
        <c:crossBetween val="midCat"/>
      </c:valAx>
      <c:valAx>
        <c:axId val="26054361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60545536"/>
        <c:crosses val="max"/>
        <c:crossBetween val="between"/>
      </c:valAx>
      <c:dateAx>
        <c:axId val="260545536"/>
        <c:scaling>
          <c:orientation val="minMax"/>
        </c:scaling>
        <c:delete val="1"/>
        <c:axPos val="b"/>
        <c:numFmt formatCode="[$-409]d\-mmm;@" sourceLinked="1"/>
        <c:majorTickMark val="out"/>
        <c:minorTickMark val="none"/>
        <c:tickLblPos val="none"/>
        <c:crossAx val="26054361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15"/>
          <c:y val="0"/>
        </c:manualLayout>
      </c:layout>
      <c:overlay val="0"/>
    </c:title>
    <c:autoTitleDeleted val="0"/>
    <c:plotArea>
      <c:layout>
        <c:manualLayout>
          <c:layoutTarget val="inner"/>
          <c:xMode val="edge"/>
          <c:yMode val="edge"/>
          <c:x val="0.16841020494215417"/>
          <c:y val="9.8857211506771236E-2"/>
          <c:w val="0.57584383542602979"/>
          <c:h val="0.73076771653543315"/>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260601344"/>
        <c:axId val="260603264"/>
      </c:lineChart>
      <c:catAx>
        <c:axId val="260601344"/>
        <c:scaling>
          <c:orientation val="minMax"/>
        </c:scaling>
        <c:delete val="0"/>
        <c:axPos val="b"/>
        <c:title>
          <c:tx>
            <c:rich>
              <a:bodyPr/>
              <a:lstStyle/>
              <a:p>
                <a:pPr>
                  <a:defRPr/>
                </a:pPr>
                <a:r>
                  <a:rPr lang="en-US" sz="1400"/>
                  <a:t>Months</a:t>
                </a:r>
              </a:p>
            </c:rich>
          </c:tx>
          <c:overlay val="0"/>
        </c:title>
        <c:numFmt formatCode="General" sourceLinked="1"/>
        <c:majorTickMark val="out"/>
        <c:minorTickMark val="none"/>
        <c:tickLblPos val="nextTo"/>
        <c:txPr>
          <a:bodyPr/>
          <a:lstStyle/>
          <a:p>
            <a:pPr>
              <a:defRPr sz="1400"/>
            </a:pPr>
            <a:endParaRPr lang="en-US"/>
          </a:p>
        </c:txPr>
        <c:crossAx val="260603264"/>
        <c:crosses val="autoZero"/>
        <c:auto val="1"/>
        <c:lblAlgn val="ctr"/>
        <c:lblOffset val="100"/>
        <c:noMultiLvlLbl val="0"/>
      </c:catAx>
      <c:valAx>
        <c:axId val="260603264"/>
        <c:scaling>
          <c:orientation val="minMax"/>
          <c:max val="12000"/>
        </c:scaling>
        <c:delete val="0"/>
        <c:axPos val="l"/>
        <c:majorGridlines/>
        <c:title>
          <c:tx>
            <c:rich>
              <a:bodyPr rot="-5400000" vert="horz"/>
              <a:lstStyle/>
              <a:p>
                <a:pPr>
                  <a:defRPr/>
                </a:pPr>
                <a:r>
                  <a:rPr lang="en-US" sz="1400"/>
                  <a:t>Mite population</a:t>
                </a:r>
              </a:p>
            </c:rich>
          </c:tx>
          <c:overlay val="0"/>
        </c:title>
        <c:numFmt formatCode="#,##0" sourceLinked="0"/>
        <c:majorTickMark val="out"/>
        <c:minorTickMark val="none"/>
        <c:tickLblPos val="nextTo"/>
        <c:txPr>
          <a:bodyPr/>
          <a:lstStyle/>
          <a:p>
            <a:pPr>
              <a:defRPr sz="1400"/>
            </a:pPr>
            <a:endParaRPr lang="en-US"/>
          </a:p>
        </c:txPr>
        <c:crossAx val="260601344"/>
        <c:crosses val="autoZero"/>
        <c:crossBetween val="midCat"/>
      </c:valAx>
    </c:plotArea>
    <c:legend>
      <c:legendPos val="r"/>
      <c:layout>
        <c:manualLayout>
          <c:xMode val="edge"/>
          <c:yMode val="edge"/>
          <c:x val="0.78613866024813261"/>
          <c:y val="0.32651999693810513"/>
          <c:w val="0.18600389467745587"/>
          <c:h val="0.38681806390429901"/>
        </c:manualLayout>
      </c:layout>
      <c:overlay val="0"/>
      <c:txPr>
        <a:bodyPr/>
        <a:lstStyle/>
        <a:p>
          <a:pPr>
            <a:defRPr sz="14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116.09999999999998</c:v>
                </c:pt>
                <c:pt idx="1">
                  <c:v>0.6</c:v>
                </c:pt>
                <c:pt idx="2">
                  <c:v>0.6</c:v>
                </c:pt>
                <c:pt idx="3">
                  <c:v>116.09999999999998</c:v>
                </c:pt>
                <c:pt idx="4">
                  <c:v>0.6</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26.983963568487351</c:v>
                </c:pt>
                <c:pt idx="1">
                  <c:v>0</c:v>
                </c:pt>
                <c:pt idx="2">
                  <c:v>0</c:v>
                </c:pt>
                <c:pt idx="3">
                  <c:v>21.925693823501447</c:v>
                </c:pt>
                <c:pt idx="4">
                  <c:v>0</c:v>
                </c:pt>
                <c:pt idx="5">
                  <c:v>33.871596255519279</c:v>
                </c:pt>
                <c:pt idx="6">
                  <c:v>48.908963390276014</c:v>
                </c:pt>
                <c:pt idx="7">
                  <c:v>62.286583894449464</c:v>
                </c:pt>
                <c:pt idx="8">
                  <c:v>45.239181371810176</c:v>
                </c:pt>
                <c:pt idx="9">
                  <c:v>53.118740362161041</c:v>
                </c:pt>
                <c:pt idx="10">
                  <c:v>71.61162478763714</c:v>
                </c:pt>
                <c:pt idx="11">
                  <c:v>83.894026476925902</c:v>
                </c:pt>
                <c:pt idx="12">
                  <c:v>96.787121386779006</c:v>
                </c:pt>
                <c:pt idx="13">
                  <c:v>109.94172240355759</c:v>
                </c:pt>
                <c:pt idx="14">
                  <c:v>135.0736308361808</c:v>
                </c:pt>
                <c:pt idx="15">
                  <c:v>177.72863855106488</c:v>
                </c:pt>
                <c:pt idx="16">
                  <c:v>257.86616540142018</c:v>
                </c:pt>
                <c:pt idx="17">
                  <c:v>313.41817866416068</c:v>
                </c:pt>
                <c:pt idx="18">
                  <c:v>276.77663896156645</c:v>
                </c:pt>
                <c:pt idx="19">
                  <c:v>162.26876414472812</c:v>
                </c:pt>
                <c:pt idx="20">
                  <c:v>0</c:v>
                </c:pt>
                <c:pt idx="21">
                  <c:v>0</c:v>
                </c:pt>
                <c:pt idx="22">
                  <c:v>0</c:v>
                </c:pt>
                <c:pt idx="23">
                  <c:v>0</c:v>
                </c:pt>
                <c:pt idx="24">
                  <c:v>0</c:v>
                </c:pt>
              </c:numCache>
            </c:numRef>
          </c:val>
        </c:ser>
        <c:dLbls>
          <c:showLegendKey val="0"/>
          <c:showVal val="0"/>
          <c:showCatName val="0"/>
          <c:showSerName val="0"/>
          <c:showPercent val="0"/>
          <c:showBubbleSize val="0"/>
        </c:dLbls>
        <c:axId val="263462272"/>
        <c:axId val="263472640"/>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dLbls>
          <c:showLegendKey val="0"/>
          <c:showVal val="0"/>
          <c:showCatName val="0"/>
          <c:showSerName val="0"/>
          <c:showPercent val="0"/>
          <c:showBubbleSize val="0"/>
        </c:dLbls>
        <c:axId val="263476736"/>
        <c:axId val="263474560"/>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85.398760779561485</c:v>
                </c:pt>
                <c:pt idx="3">
                  <c:v>79.128371205453078</c:v>
                </c:pt>
                <c:pt idx="4">
                  <c:v>91.582388491402227</c:v>
                </c:pt>
                <c:pt idx="5">
                  <c:v>76.490629565015396</c:v>
                </c:pt>
                <c:pt idx="6">
                  <c:v>97.748270936739701</c:v>
                </c:pt>
                <c:pt idx="7">
                  <c:v>85.79619554269081</c:v>
                </c:pt>
                <c:pt idx="8">
                  <c:v>76.521914181502552</c:v>
                </c:pt>
                <c:pt idx="9">
                  <c:v>100.1340448315154</c:v>
                </c:pt>
                <c:pt idx="10">
                  <c:v>120.73188009519274</c:v>
                </c:pt>
                <c:pt idx="11">
                  <c:v>148.83809559182916</c:v>
                </c:pt>
                <c:pt idx="12">
                  <c:v>189.0329117428538</c:v>
                </c:pt>
                <c:pt idx="13">
                  <c:v>224.62336380308716</c:v>
                </c:pt>
                <c:pt idx="14">
                  <c:v>280.69823931400947</c:v>
                </c:pt>
                <c:pt idx="15">
                  <c:v>361.27290949072494</c:v>
                </c:pt>
                <c:pt idx="16">
                  <c:v>456.75490353679743</c:v>
                </c:pt>
                <c:pt idx="17">
                  <c:v>558.41883680836236</c:v>
                </c:pt>
                <c:pt idx="18">
                  <c:v>720.76822497623903</c:v>
                </c:pt>
                <c:pt idx="19">
                  <c:v>732.7279811166386</c:v>
                </c:pt>
                <c:pt idx="20">
                  <c:v>631.75938718236534</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63462272"/>
        <c:axId val="26347264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1.3641486179387587</c:v>
                </c:pt>
                <c:pt idx="1">
                  <c:v>1.8242453901780251</c:v>
                </c:pt>
                <c:pt idx="2">
                  <c:v>1.6812881028476168</c:v>
                </c:pt>
                <c:pt idx="3">
                  <c:v>1.079428582196639</c:v>
                </c:pt>
                <c:pt idx="4">
                  <c:v>2.0606037410565503</c:v>
                </c:pt>
                <c:pt idx="5">
                  <c:v>1.0581486271164688</c:v>
                </c:pt>
                <c:pt idx="6">
                  <c:v>1.1601899691033579</c:v>
                </c:pt>
                <c:pt idx="7">
                  <c:v>0.30180835338144429</c:v>
                </c:pt>
                <c:pt idx="8">
                  <c:v>0.22328565524416952</c:v>
                </c:pt>
                <c:pt idx="9">
                  <c:v>0.30279060851457201</c:v>
                </c:pt>
                <c:pt idx="10">
                  <c:v>0.29980839048016483</c:v>
                </c:pt>
                <c:pt idx="11">
                  <c:v>0.34106613383302192</c:v>
                </c:pt>
                <c:pt idx="12">
                  <c:v>0.46742824543468042</c:v>
                </c:pt>
                <c:pt idx="13">
                  <c:v>0.59007925407778894</c:v>
                </c:pt>
                <c:pt idx="14">
                  <c:v>0.78227266740050561</c:v>
                </c:pt>
                <c:pt idx="15">
                  <c:v>1.2187182260789127</c:v>
                </c:pt>
                <c:pt idx="16">
                  <c:v>2.0362907164960804</c:v>
                </c:pt>
                <c:pt idx="17">
                  <c:v>2.9044467070965263</c:v>
                </c:pt>
                <c:pt idx="18">
                  <c:v>6.4736743772938992</c:v>
                </c:pt>
                <c:pt idx="19">
                  <c:v>8.4814928750228678</c:v>
                </c:pt>
                <c:pt idx="20">
                  <c:v>12.437762935152818</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1.2242709933999899E-2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263476736"/>
        <c:axId val="263474560"/>
      </c:lineChart>
      <c:dateAx>
        <c:axId val="263462272"/>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63472640"/>
        <c:crosses val="autoZero"/>
        <c:auto val="0"/>
        <c:lblOffset val="100"/>
        <c:baseTimeUnit val="days"/>
        <c:majorUnit val="1"/>
        <c:majorTimeUnit val="months"/>
        <c:minorUnit val="1"/>
        <c:minorTimeUnit val="months"/>
      </c:dateAx>
      <c:valAx>
        <c:axId val="26347264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63462272"/>
        <c:crossesAt val="40544"/>
        <c:crossBetween val="midCat"/>
      </c:valAx>
      <c:valAx>
        <c:axId val="263474560"/>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63476736"/>
        <c:crosses val="max"/>
        <c:crossBetween val="between"/>
      </c:valAx>
      <c:dateAx>
        <c:axId val="263476736"/>
        <c:scaling>
          <c:orientation val="minMax"/>
        </c:scaling>
        <c:delete val="1"/>
        <c:axPos val="b"/>
        <c:numFmt formatCode="[$-409]d\-mmm;@" sourceLinked="1"/>
        <c:majorTickMark val="out"/>
        <c:minorTickMark val="none"/>
        <c:tickLblPos val="none"/>
        <c:crossAx val="263474560"/>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63530752"/>
        <c:axId val="263545600"/>
      </c:scatterChart>
      <c:valAx>
        <c:axId val="263530752"/>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63545600"/>
        <c:crosses val="autoZero"/>
        <c:crossBetween val="midCat"/>
      </c:valAx>
      <c:valAx>
        <c:axId val="263545600"/>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63530752"/>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1125</c:v>
                </c:pt>
                <c:pt idx="21">
                  <c:v>562.5</c:v>
                </c:pt>
                <c:pt idx="22">
                  <c:v>450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404062976"/>
        <c:axId val="405360000"/>
      </c:lineChart>
      <c:dateAx>
        <c:axId val="404062976"/>
        <c:scaling>
          <c:orientation val="minMax"/>
        </c:scaling>
        <c:delete val="0"/>
        <c:axPos val="b"/>
        <c:numFmt formatCode="[$-409]d\-mmm;@" sourceLinked="1"/>
        <c:majorTickMark val="cross"/>
        <c:minorTickMark val="none"/>
        <c:tickLblPos val="nextTo"/>
        <c:txPr>
          <a:bodyPr/>
          <a:lstStyle/>
          <a:p>
            <a:pPr>
              <a:defRPr b="1"/>
            </a:pPr>
            <a:endParaRPr lang="en-US"/>
          </a:p>
        </c:txPr>
        <c:crossAx val="405360000"/>
        <c:crosses val="autoZero"/>
        <c:auto val="1"/>
        <c:lblOffset val="100"/>
        <c:baseTimeUnit val="days"/>
      </c:dateAx>
      <c:valAx>
        <c:axId val="4053600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40406297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2931961756200234"/>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407644800"/>
        <c:axId val="408347392"/>
      </c:lineChart>
      <c:dateAx>
        <c:axId val="407644800"/>
        <c:scaling>
          <c:orientation val="minMax"/>
        </c:scaling>
        <c:delete val="0"/>
        <c:axPos val="b"/>
        <c:numFmt formatCode="[$-409]d\-mmm;@" sourceLinked="1"/>
        <c:majorTickMark val="cross"/>
        <c:minorTickMark val="none"/>
        <c:tickLblPos val="nextTo"/>
        <c:txPr>
          <a:bodyPr/>
          <a:lstStyle/>
          <a:p>
            <a:pPr>
              <a:defRPr b="1"/>
            </a:pPr>
            <a:endParaRPr lang="en-US"/>
          </a:p>
        </c:txPr>
        <c:crossAx val="408347392"/>
        <c:crosses val="autoZero"/>
        <c:auto val="1"/>
        <c:lblOffset val="100"/>
        <c:baseTimeUnit val="days"/>
      </c:dateAx>
      <c:valAx>
        <c:axId val="40834739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407644800"/>
        <c:crosses val="autoZero"/>
        <c:crossBetween val="between"/>
      </c:valAx>
    </c:plotArea>
    <c:legend>
      <c:legendPos val="r"/>
      <c:layout>
        <c:manualLayout>
          <c:xMode val="edge"/>
          <c:yMode val="edge"/>
          <c:x val="0.12641256799601103"/>
          <c:y val="7.7373174507032794E-2"/>
          <c:w val="0.23229376633511895"/>
          <c:h val="0.3780400010974238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8E-2"/>
          <c:w val="0.77464173422335103"/>
          <c:h val="0.8618951661812202"/>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423852672"/>
        <c:axId val="423879424"/>
      </c:lineChart>
      <c:dateAx>
        <c:axId val="423852672"/>
        <c:scaling>
          <c:orientation val="minMax"/>
        </c:scaling>
        <c:delete val="0"/>
        <c:axPos val="b"/>
        <c:numFmt formatCode="[$-409]d\-mmm;@" sourceLinked="1"/>
        <c:majorTickMark val="cross"/>
        <c:minorTickMark val="none"/>
        <c:tickLblPos val="low"/>
        <c:txPr>
          <a:bodyPr/>
          <a:lstStyle/>
          <a:p>
            <a:pPr>
              <a:defRPr b="1"/>
            </a:pPr>
            <a:endParaRPr lang="en-US"/>
          </a:p>
        </c:txPr>
        <c:crossAx val="423879424"/>
        <c:crosses val="autoZero"/>
        <c:auto val="1"/>
        <c:lblOffset val="100"/>
        <c:baseTimeUnit val="days"/>
      </c:dateAx>
      <c:valAx>
        <c:axId val="42387942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423852672"/>
        <c:crosses val="autoZero"/>
        <c:crossBetween val="midCat"/>
      </c:valAx>
    </c:plotArea>
    <c:legend>
      <c:legendPos val="r"/>
      <c:layout>
        <c:manualLayout>
          <c:xMode val="edge"/>
          <c:yMode val="edge"/>
          <c:x val="0.1285504632499172"/>
          <c:y val="7.3954371088229373E-2"/>
          <c:w val="0.26044730356883677"/>
          <c:h val="0.4333091822988012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435129344"/>
        <c:axId val="437637888"/>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442758656"/>
        <c:axId val="437640192"/>
      </c:lineChart>
      <c:dateAx>
        <c:axId val="435129344"/>
        <c:scaling>
          <c:orientation val="minMax"/>
        </c:scaling>
        <c:delete val="0"/>
        <c:axPos val="b"/>
        <c:numFmt formatCode="[$-409]d\-mmm;@" sourceLinked="1"/>
        <c:majorTickMark val="cross"/>
        <c:minorTickMark val="none"/>
        <c:tickLblPos val="nextTo"/>
        <c:txPr>
          <a:bodyPr/>
          <a:lstStyle/>
          <a:p>
            <a:pPr>
              <a:defRPr b="1"/>
            </a:pPr>
            <a:endParaRPr lang="en-US"/>
          </a:p>
        </c:txPr>
        <c:crossAx val="437637888"/>
        <c:crosses val="autoZero"/>
        <c:auto val="1"/>
        <c:lblOffset val="100"/>
        <c:baseTimeUnit val="days"/>
      </c:dateAx>
      <c:valAx>
        <c:axId val="43763788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435129344"/>
        <c:crosses val="autoZero"/>
        <c:crossBetween val="between"/>
      </c:valAx>
      <c:valAx>
        <c:axId val="437640192"/>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442758656"/>
        <c:crosses val="max"/>
        <c:crossBetween val="between"/>
      </c:valAx>
      <c:dateAx>
        <c:axId val="442758656"/>
        <c:scaling>
          <c:orientation val="minMax"/>
        </c:scaling>
        <c:delete val="1"/>
        <c:axPos val="b"/>
        <c:numFmt formatCode="[$-409]d\-mmm;@" sourceLinked="1"/>
        <c:majorTickMark val="out"/>
        <c:minorTickMark val="none"/>
        <c:tickLblPos val="none"/>
        <c:crossAx val="437640192"/>
        <c:crosses val="autoZero"/>
        <c:auto val="1"/>
        <c:lblOffset val="100"/>
        <c:baseTimeUnit val="days"/>
        <c:majorUnit val="1"/>
        <c:minorUnit val="1"/>
      </c:dateAx>
    </c:plotArea>
    <c:legend>
      <c:legendPos val="r"/>
      <c:layout>
        <c:manualLayout>
          <c:xMode val="edge"/>
          <c:yMode val="edge"/>
          <c:x val="0.12641256799601103"/>
          <c:y val="7.7373174507032794E-2"/>
          <c:w val="0.26221505798886552"/>
          <c:h val="0.41366141732283468"/>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459413760"/>
        <c:axId val="212099456"/>
      </c:lineChart>
      <c:dateAx>
        <c:axId val="459413760"/>
        <c:scaling>
          <c:orientation val="minMax"/>
        </c:scaling>
        <c:delete val="0"/>
        <c:axPos val="b"/>
        <c:numFmt formatCode="[$-409]d\-mmm;@" sourceLinked="1"/>
        <c:majorTickMark val="cross"/>
        <c:minorTickMark val="none"/>
        <c:tickLblPos val="nextTo"/>
        <c:txPr>
          <a:bodyPr/>
          <a:lstStyle/>
          <a:p>
            <a:pPr>
              <a:defRPr b="1"/>
            </a:pPr>
            <a:endParaRPr lang="en-US"/>
          </a:p>
        </c:txPr>
        <c:crossAx val="212099456"/>
        <c:crosses val="autoZero"/>
        <c:auto val="1"/>
        <c:lblOffset val="100"/>
        <c:baseTimeUnit val="days"/>
      </c:dateAx>
      <c:valAx>
        <c:axId val="21209945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459413760"/>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12109952"/>
        <c:axId val="212111744"/>
      </c:lineChart>
      <c:dateAx>
        <c:axId val="212109952"/>
        <c:scaling>
          <c:orientation val="minMax"/>
        </c:scaling>
        <c:delete val="0"/>
        <c:axPos val="b"/>
        <c:numFmt formatCode="[$-409]d\-mmm;@" sourceLinked="1"/>
        <c:majorTickMark val="cross"/>
        <c:minorTickMark val="none"/>
        <c:tickLblPos val="nextTo"/>
        <c:txPr>
          <a:bodyPr/>
          <a:lstStyle/>
          <a:p>
            <a:pPr>
              <a:defRPr b="1"/>
            </a:pPr>
            <a:endParaRPr lang="en-US"/>
          </a:p>
        </c:txPr>
        <c:crossAx val="212111744"/>
        <c:crosses val="autoZero"/>
        <c:auto val="1"/>
        <c:lblOffset val="100"/>
        <c:baseTimeUnit val="days"/>
      </c:dateAx>
      <c:valAx>
        <c:axId val="21211174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1210995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27000</c:v>
                </c:pt>
                <c:pt idx="9">
                  <c:v>31500</c:v>
                </c:pt>
                <c:pt idx="10">
                  <c:v>36000</c:v>
                </c:pt>
                <c:pt idx="11">
                  <c:v>36000</c:v>
                </c:pt>
                <c:pt idx="12">
                  <c:v>27000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12126336"/>
        <c:axId val="212128128"/>
      </c:lineChart>
      <c:dateAx>
        <c:axId val="212126336"/>
        <c:scaling>
          <c:orientation val="minMax"/>
        </c:scaling>
        <c:delete val="0"/>
        <c:axPos val="b"/>
        <c:numFmt formatCode="[$-409]d\-mmm;@" sourceLinked="1"/>
        <c:majorTickMark val="cross"/>
        <c:minorTickMark val="none"/>
        <c:tickLblPos val="nextTo"/>
        <c:txPr>
          <a:bodyPr/>
          <a:lstStyle/>
          <a:p>
            <a:pPr>
              <a:defRPr b="1"/>
            </a:pPr>
            <a:endParaRPr lang="en-US"/>
          </a:p>
        </c:txPr>
        <c:crossAx val="212128128"/>
        <c:crosses val="autoZero"/>
        <c:auto val="1"/>
        <c:lblOffset val="100"/>
        <c:baseTimeUnit val="days"/>
      </c:dateAx>
      <c:valAx>
        <c:axId val="21212812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1212633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802055"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v22-1.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a:t>
          </a:r>
          <a:r>
            <a:rPr lang="en-US" sz="1200" b="1" i="1" u="sng"/>
            <a:t>to match your measured</a:t>
          </a:r>
          <a:r>
            <a:rPr lang="en-US" sz="1200" b="1" i="1" u="sng" baseline="0"/>
            <a:t> </a:t>
          </a:r>
          <a:r>
            <a:rPr lang="en-US" sz="1200" b="1" i="1" u="sng"/>
            <a:t>alcohol wash count </a:t>
          </a:r>
          <a:r>
            <a:rPr lang="en-US" sz="1200" b="1" i="1"/>
            <a:t>.</a:t>
          </a:r>
          <a:r>
            <a:rPr lang="en-US" sz="1200" b="1" i="1" baseline="0"/>
            <a:t>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at Cell AG35.</a:t>
          </a:r>
          <a:endParaRPr lang="en-US" sz="1200" b="1"/>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1</xdr:colOff>
      <xdr:row>28</xdr:row>
      <xdr:rowOff>141111</xdr:rowOff>
    </xdr:from>
    <xdr:to>
      <xdr:col>28</xdr:col>
      <xdr:colOff>345723</xdr:colOff>
      <xdr:row>33</xdr:row>
      <xdr:rowOff>134055</xdr:rowOff>
    </xdr:to>
    <xdr:sp macro="" textlink="">
      <xdr:nvSpPr>
        <xdr:cNvPr id="19" name="TextBox 18"/>
        <xdr:cNvSpPr txBox="1"/>
      </xdr:nvSpPr>
      <xdr:spPr>
        <a:xfrm>
          <a:off x="5595057" y="5651500"/>
          <a:ext cx="5383388" cy="804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119942</xdr:rowOff>
    </xdr:from>
    <xdr:to>
      <xdr:col>50</xdr:col>
      <xdr:colOff>239889</xdr:colOff>
      <xdr:row>29</xdr:row>
      <xdr:rowOff>77610</xdr:rowOff>
    </xdr:to>
    <xdr:sp macro="" textlink="">
      <xdr:nvSpPr>
        <xdr:cNvPr id="20" name="TextBox 19"/>
        <xdr:cNvSpPr txBox="1"/>
      </xdr:nvSpPr>
      <xdr:spPr>
        <a:xfrm>
          <a:off x="11246554" y="282220"/>
          <a:ext cx="7450668" cy="5468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  The  password is sb, but be sure to save a copy before you mess with it!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7</xdr:col>
      <xdr:colOff>352779</xdr:colOff>
      <xdr:row>2</xdr:row>
      <xdr:rowOff>585611</xdr:rowOff>
    </xdr:from>
    <xdr:to>
      <xdr:col>20</xdr:col>
      <xdr:colOff>239889</xdr:colOff>
      <xdr:row>2</xdr:row>
      <xdr:rowOff>804333</xdr:rowOff>
    </xdr:to>
    <xdr:sp macro="" textlink="">
      <xdr:nvSpPr>
        <xdr:cNvPr id="2" name="TextBox 1"/>
        <xdr:cNvSpPr txBox="1"/>
      </xdr:nvSpPr>
      <xdr:spPr>
        <a:xfrm>
          <a:off x="3429001" y="910167"/>
          <a:ext cx="4564944" cy="218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345723</xdr:colOff>
      <xdr:row>34</xdr:row>
      <xdr:rowOff>42332</xdr:rowOff>
    </xdr:from>
    <xdr:to>
      <xdr:col>30</xdr:col>
      <xdr:colOff>402167</xdr:colOff>
      <xdr:row>64</xdr:row>
      <xdr:rowOff>112889</xdr:rowOff>
    </xdr:to>
    <xdr:sp macro="" textlink="">
      <xdr:nvSpPr>
        <xdr:cNvPr id="4" name="TextBox 3"/>
        <xdr:cNvSpPr txBox="1"/>
      </xdr:nvSpPr>
      <xdr:spPr>
        <a:xfrm>
          <a:off x="5580945" y="6526388"/>
          <a:ext cx="6173611" cy="5108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200" b="1">
              <a:solidFill>
                <a:srgbClr val="0070C0"/>
              </a:solidFill>
              <a:effectLst/>
              <a:latin typeface="+mn-lt"/>
              <a:ea typeface="+mn-ea"/>
              <a:cs typeface="+mn-cs"/>
            </a:rPr>
            <a:t>High-efficacy synthetic miticide, </a:t>
          </a:r>
          <a:r>
            <a:rPr lang="en-US" sz="1100">
              <a:solidFill>
                <a:schemeClr val="dk1"/>
              </a:solidFill>
              <a:effectLst/>
              <a:latin typeface="+mn-lt"/>
              <a:ea typeface="+mn-ea"/>
              <a:cs typeface="+mn-cs"/>
            </a:rPr>
            <a:t>such as amitraz  (Apivar)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200" b="1">
              <a:solidFill>
                <a:srgbClr val="0070C0"/>
              </a:solidFill>
              <a:effectLst/>
              <a:latin typeface="+mn-lt"/>
              <a:ea typeface="+mn-ea"/>
              <a:cs typeface="+mn-cs"/>
            </a:rPr>
            <a:t>Two 50-g Apiguard </a:t>
          </a:r>
          <a:r>
            <a:rPr lang="en-US" sz="1100">
              <a:solidFill>
                <a:schemeClr val="dk1"/>
              </a:solidFill>
              <a:effectLst/>
              <a:latin typeface="+mn-lt"/>
              <a:ea typeface="+mn-ea"/>
              <a:cs typeface="+mn-cs"/>
            </a:rPr>
            <a:t>(or three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Apilife</a:t>
          </a:r>
          <a:r>
            <a:rPr lang="en-US" sz="1100" baseline="0">
              <a:solidFill>
                <a:schemeClr val="dk1"/>
              </a:solidFill>
              <a:effectLst/>
              <a:latin typeface="+mn-lt"/>
              <a:ea typeface="+mn-ea"/>
              <a:cs typeface="+mn-cs"/>
            </a:rPr>
            <a:t> Var) </a:t>
          </a:r>
          <a:r>
            <a:rPr lang="en-US" sz="1100">
              <a:solidFill>
                <a:schemeClr val="dk1"/>
              </a:solidFill>
              <a:effectLst/>
              <a:latin typeface="+mn-lt"/>
              <a:ea typeface="+mn-ea"/>
              <a:cs typeface="+mn-cs"/>
            </a:rPr>
            <a:t> treatments at 10 days, in a rim.  </a:t>
          </a:r>
          <a:r>
            <a:rPr lang="en-US" sz="1100">
              <a:solidFill>
                <a:srgbClr val="FF0000"/>
              </a:solidFill>
              <a:effectLst/>
              <a:latin typeface="+mn-lt"/>
              <a:ea typeface="+mn-ea"/>
              <a:cs typeface="+mn-cs"/>
            </a:rPr>
            <a:t>Best used in August, as thymol</a:t>
          </a:r>
          <a:r>
            <a:rPr lang="en-US" sz="1100" baseline="0">
              <a:solidFill>
                <a:srgbClr val="FF0000"/>
              </a:solidFill>
              <a:effectLst/>
              <a:latin typeface="+mn-lt"/>
              <a:ea typeface="+mn-ea"/>
              <a:cs typeface="+mn-cs"/>
            </a:rPr>
            <a:t> </a:t>
          </a:r>
          <a:r>
            <a:rPr lang="en-US" sz="1100">
              <a:solidFill>
                <a:srgbClr val="FF0000"/>
              </a:solidFill>
              <a:effectLst/>
              <a:latin typeface="+mn-lt"/>
              <a:ea typeface="+mn-ea"/>
              <a:cs typeface="+mn-cs"/>
            </a:rPr>
            <a:t>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a:t>
          </a:r>
          <a:r>
            <a:rPr lang="en-US" sz="1200" b="1">
              <a:solidFill>
                <a:srgbClr val="0070C0"/>
              </a:solidFill>
              <a:effectLst/>
              <a:latin typeface="+mn-lt"/>
              <a:ea typeface="+mn-ea"/>
              <a:cs typeface="+mn-cs"/>
            </a:rPr>
            <a:t>2 MAQS or Formic Pro pads</a:t>
          </a:r>
          <a:r>
            <a:rPr lang="en-US" sz="1100">
              <a:solidFill>
                <a:schemeClr val="dk1"/>
              </a:solidFill>
              <a:effectLst/>
              <a:latin typeface="+mn-lt"/>
              <a:ea typeface="+mn-ea"/>
              <a:cs typeface="+mn-cs"/>
            </a:rPr>
            <a:t>,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200" b="1">
              <a:solidFill>
                <a:srgbClr val="0070C0"/>
              </a:solidFill>
              <a:effectLst/>
              <a:latin typeface="+mn-lt"/>
              <a:ea typeface="+mn-ea"/>
              <a:cs typeface="+mn-cs"/>
            </a:rPr>
            <a:t>1 MAQS or Formic Pro pad</a:t>
          </a:r>
          <a:r>
            <a:rPr lang="en-US" sz="1100">
              <a:solidFill>
                <a:schemeClr val="dk1"/>
              </a:solidFill>
              <a:effectLst/>
              <a:latin typeface="+mn-lt"/>
              <a:ea typeface="+mn-ea"/>
              <a:cs typeface="+mn-cs"/>
            </a:rPr>
            <a:t>,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200" b="1">
              <a:solidFill>
                <a:srgbClr val="0070C0"/>
              </a:solidFill>
              <a:effectLst/>
              <a:latin typeface="+mn-lt"/>
              <a:ea typeface="+mn-ea"/>
              <a:cs typeface="+mn-cs"/>
            </a:rPr>
            <a:t>Hopguard 3 if colony is broodless; </a:t>
          </a:r>
          <a:r>
            <a:rPr lang="en-US" sz="1100">
              <a:solidFill>
                <a:schemeClr val="dk1"/>
              </a:solidFill>
              <a:effectLst/>
              <a:latin typeface="+mn-lt"/>
              <a:ea typeface="+mn-ea"/>
              <a:cs typeface="+mn-cs"/>
            </a:rPr>
            <a:t>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200" b="1">
              <a:solidFill>
                <a:srgbClr val="0070C0"/>
              </a:solidFill>
              <a:effectLst/>
              <a:latin typeface="+mn-lt"/>
              <a:ea typeface="+mn-ea"/>
              <a:cs typeface="+mn-cs"/>
            </a:rPr>
            <a:t>A single powdered sugar dusting, </a:t>
          </a:r>
          <a:r>
            <a:rPr lang="en-US" sz="1100">
              <a:solidFill>
                <a:schemeClr val="dk1"/>
              </a:solidFill>
              <a:effectLst/>
              <a:latin typeface="+mn-lt"/>
              <a:ea typeface="+mn-ea"/>
              <a:cs typeface="+mn-cs"/>
            </a:rPr>
            <a:t>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200" b="1">
              <a:solidFill>
                <a:srgbClr val="0070C0"/>
              </a:solidFill>
              <a:effectLst/>
              <a:latin typeface="+mn-lt"/>
              <a:ea typeface="+mn-ea"/>
              <a:cs typeface="+mn-cs"/>
            </a:rPr>
            <a:t>Complete removal of drone brood</a:t>
          </a:r>
          <a:r>
            <a:rPr lang="en-US" sz="1100">
              <a:solidFill>
                <a:schemeClr val="dk1"/>
              </a:solidFill>
              <a:effectLst/>
              <a:latin typeface="+mn-lt"/>
              <a:ea typeface="+mn-ea"/>
              <a:cs typeface="+mn-cs"/>
            </a:rPr>
            <a:t>,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200" b="1">
              <a:solidFill>
                <a:srgbClr val="0070C0"/>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200" b="1">
              <a:solidFill>
                <a:srgbClr val="0070C0"/>
              </a:solidFill>
              <a:effectLst/>
              <a:latin typeface="+mn-lt"/>
              <a:ea typeface="+mn-ea"/>
              <a:cs typeface="+mn-cs"/>
            </a:rPr>
            <a:t>One Oxalic dribble or vaporization in hive containing brood</a:t>
          </a:r>
          <a:r>
            <a:rPr lang="en-US" sz="1100">
              <a:solidFill>
                <a:schemeClr val="dk1"/>
              </a:solidFill>
              <a:effectLst/>
              <a:latin typeface="+mn-lt"/>
              <a:ea typeface="+mn-ea"/>
              <a:cs typeface="+mn-cs"/>
            </a:rPr>
            <a:t>,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a:t>
          </a:r>
          <a:r>
            <a:rPr lang="en-US" sz="1200" b="1">
              <a:solidFill>
                <a:srgbClr val="0070C0"/>
              </a:solidFill>
              <a:effectLst/>
              <a:latin typeface="+mn-lt"/>
              <a:ea typeface="+mn-ea"/>
              <a:cs typeface="+mn-cs"/>
            </a:rPr>
            <a:t>Extended-release OA/glycerin sponges</a:t>
          </a:r>
          <a:r>
            <a:rPr lang="en-US" sz="1100" b="0">
              <a:solidFill>
                <a:schemeClr val="dk1"/>
              </a:solidFill>
              <a:effectLst/>
              <a:latin typeface="+mn-lt"/>
              <a:ea typeface="+mn-ea"/>
              <a:cs typeface="+mn-cs"/>
            </a:rPr>
            <a:t>;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r>
            <a:rPr lang="en-US" sz="1100" b="1">
              <a:solidFill>
                <a:schemeClr val="dk1"/>
              </a:solidFill>
              <a:effectLst/>
              <a:latin typeface="+mn-lt"/>
              <a:ea typeface="+mn-ea"/>
              <a:cs typeface="+mn-cs"/>
            </a:rPr>
            <a:t>~30%: </a:t>
          </a:r>
          <a:r>
            <a:rPr lang="en-US" sz="1200" b="1">
              <a:solidFill>
                <a:srgbClr val="0070C0"/>
              </a:solidFill>
              <a:effectLst/>
              <a:latin typeface="+mn-lt"/>
              <a:ea typeface="+mn-ea"/>
              <a:cs typeface="+mn-cs"/>
            </a:rPr>
            <a:t>The issuance of a prime spring swarm.  </a:t>
          </a:r>
          <a:r>
            <a:rPr lang="en-US" sz="1100">
              <a:solidFill>
                <a:schemeClr val="dk1"/>
              </a:solidFill>
              <a:effectLst/>
              <a:latin typeface="+mn-lt"/>
              <a:ea typeface="+mn-ea"/>
              <a:cs typeface="+mn-cs"/>
            </a:rPr>
            <a:t>Assume 80%</a:t>
          </a:r>
          <a:r>
            <a:rPr lang="en-US" sz="1100" baseline="0">
              <a:solidFill>
                <a:schemeClr val="dk1"/>
              </a:solidFill>
              <a:effectLst/>
              <a:latin typeface="+mn-lt"/>
              <a:ea typeface="+mn-ea"/>
              <a:cs typeface="+mn-cs"/>
            </a:rPr>
            <a:t> of mites in the brood, 70% of workers leave, 14 day brood break.</a:t>
          </a:r>
        </a:p>
        <a:p>
          <a:r>
            <a:rPr lang="en-US" sz="1100" b="1">
              <a:solidFill>
                <a:schemeClr val="tx1"/>
              </a:solidFill>
              <a:effectLst/>
              <a:latin typeface="+mn-lt"/>
              <a:ea typeface="+mn-ea"/>
              <a:cs typeface="+mn-cs"/>
            </a:rPr>
            <a:t>~50-55%:  </a:t>
          </a:r>
          <a:r>
            <a:rPr lang="en-US" sz="1200" b="1">
              <a:solidFill>
                <a:srgbClr val="0070C0"/>
              </a:solidFill>
              <a:effectLst/>
              <a:latin typeface="+mn-lt"/>
              <a:ea typeface="+mn-ea"/>
              <a:cs typeface="+mn-cs"/>
            </a:rPr>
            <a:t>An</a:t>
          </a:r>
          <a:r>
            <a:rPr lang="en-US" sz="1200" b="1" baseline="0">
              <a:solidFill>
                <a:srgbClr val="0070C0"/>
              </a:solidFill>
              <a:effectLst/>
              <a:latin typeface="+mn-lt"/>
              <a:ea typeface="+mn-ea"/>
              <a:cs typeface="+mn-cs"/>
            </a:rPr>
            <a:t> induced brood break by removing the queen or a "walkaway split."  </a:t>
          </a:r>
          <a:r>
            <a:rPr lang="en-US" sz="1100" b="0" baseline="0">
              <a:solidFill>
                <a:schemeClr val="tx1"/>
              </a:solidFill>
              <a:effectLst/>
              <a:latin typeface="+mn-lt"/>
              <a:ea typeface="+mn-ea"/>
              <a:cs typeface="+mn-cs"/>
            </a:rPr>
            <a:t>Assume a 26 day brood break.</a:t>
          </a:r>
          <a:endParaRPr lang="en-US" sz="1100" b="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0</xdr:row>
      <xdr:rowOff>142872</xdr:rowOff>
    </xdr:from>
    <xdr:to>
      <xdr:col>15</xdr:col>
      <xdr:colOff>390525</xdr:colOff>
      <xdr:row>76</xdr:row>
      <xdr:rowOff>82550</xdr:rowOff>
    </xdr:to>
    <xdr:sp macro="" textlink="">
      <xdr:nvSpPr>
        <xdr:cNvPr id="2" name="TextBox 1"/>
        <xdr:cNvSpPr txBox="1"/>
      </xdr:nvSpPr>
      <xdr:spPr>
        <a:xfrm>
          <a:off x="609600" y="142872"/>
          <a:ext cx="8924925" cy="12004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V18:  I corrected</a:t>
          </a:r>
          <a:r>
            <a:rPr lang="en-US" sz="1100" baseline="0">
              <a:solidFill>
                <a:schemeClr val="dk1"/>
              </a:solidFill>
              <a:effectLst/>
              <a:latin typeface="+mn-lt"/>
              <a:ea typeface="+mn-ea"/>
              <a:cs typeface="+mn-cs"/>
            </a:rPr>
            <a:t> some typos that occurred when I switched the display of the graph.  I also reran my calcs for mite reduction due to swarming or brood break.</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5.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101826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5486400" y="5873750"/>
          <a:ext cx="2800494" cy="4394426"/>
        </a:xfrm>
        <a:prstGeom prst="rect">
          <a:avLst/>
        </a:prstGeom>
      </xdr:spPr>
    </xdr:pic>
    <xdr:clientData/>
  </xdr:twoCellAnchor>
  <xdr:twoCellAnchor editAs="oneCell">
    <xdr:from>
      <xdr:col>1</xdr:col>
      <xdr:colOff>0</xdr:colOff>
      <xdr:row>49</xdr:row>
      <xdr:rowOff>0</xdr:rowOff>
    </xdr:from>
    <xdr:to>
      <xdr:col>9</xdr:col>
      <xdr:colOff>489226</xdr:colOff>
      <xdr:row>75</xdr:row>
      <xdr:rowOff>6563</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609600" y="7778750"/>
          <a:ext cx="5366026" cy="4140413"/>
        </a:xfrm>
        <a:prstGeom prst="rect">
          <a:avLst/>
        </a:prstGeom>
      </xdr:spPr>
    </xdr:pic>
    <xdr:clientData/>
  </xdr:twoCellAnchor>
  <xdr:twoCellAnchor>
    <xdr:from>
      <xdr:col>1</xdr:col>
      <xdr:colOff>57150</xdr:colOff>
      <xdr:row>75</xdr:row>
      <xdr:rowOff>0</xdr:rowOff>
    </xdr:from>
    <xdr:to>
      <xdr:col>9</xdr:col>
      <xdr:colOff>558800</xdr:colOff>
      <xdr:row>80</xdr:row>
      <xdr:rowOff>44450</xdr:rowOff>
    </xdr:to>
    <xdr:sp macro="" textlink="">
      <xdr:nvSpPr>
        <xdr:cNvPr id="13" name="TextBox 12"/>
        <xdr:cNvSpPr txBox="1"/>
      </xdr:nvSpPr>
      <xdr:spPr>
        <a:xfrm>
          <a:off x="666750" y="11912600"/>
          <a:ext cx="53784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How the Infestation Level of </a:t>
          </a:r>
          <a:r>
            <a:rPr lang="en-US" sz="1100" b="1" i="1">
              <a:solidFill>
                <a:schemeClr val="dk1"/>
              </a:solidFill>
              <a:effectLst/>
              <a:latin typeface="+mn-lt"/>
              <a:ea typeface="+mn-ea"/>
              <a:cs typeface="+mn-cs"/>
            </a:rPr>
            <a:t>Varroa destructor</a:t>
          </a:r>
          <a:r>
            <a:rPr lang="en-US" sz="1100" b="1" i="0">
              <a:solidFill>
                <a:schemeClr val="dk1"/>
              </a:solidFill>
              <a:effectLst/>
              <a:latin typeface="+mn-lt"/>
              <a:ea typeface="+mn-ea"/>
              <a:cs typeface="+mn-cs"/>
            </a:rPr>
            <a:t> Affects the Distribution Pattern of Multi-Infested Cells in Worker Brood of </a:t>
          </a:r>
          <a:r>
            <a:rPr lang="en-US" sz="1100" b="1" i="1">
              <a:solidFill>
                <a:schemeClr val="dk1"/>
              </a:solidFill>
              <a:effectLst/>
              <a:latin typeface="+mn-lt"/>
              <a:ea typeface="+mn-ea"/>
              <a:cs typeface="+mn-cs"/>
            </a:rPr>
            <a:t>Apis mellifera</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by </a:t>
          </a:r>
          <a:r>
            <a:rPr lang="en-US" sz="1100" b="1" i="0" u="none" strike="noStrike">
              <a:solidFill>
                <a:schemeClr val="dk1"/>
              </a:solidFill>
              <a:effectLst/>
              <a:latin typeface="+mn-lt"/>
              <a:ea typeface="+mn-ea"/>
              <a:cs typeface="+mn-cs"/>
              <a:hlinkClick xmlns:r="http://schemas.openxmlformats.org/officeDocument/2006/relationships" r:id=""/>
            </a:rPr>
            <a:t>Ignazio Floris</a:t>
          </a:r>
          <a:r>
            <a:rPr lang="en-US" sz="1100" b="1" i="0" u="none" strike="noStrike">
              <a:solidFill>
                <a:schemeClr val="dk1"/>
              </a:solidFill>
              <a:effectLst/>
              <a:latin typeface="+mn-lt"/>
              <a:ea typeface="+mn-ea"/>
              <a:cs typeface="+mn-cs"/>
            </a:rPr>
            <a:t>, </a:t>
          </a:r>
          <a:r>
            <a:rPr lang="en-US" sz="1100" b="0" i="0" baseline="30000">
              <a:solidFill>
                <a:schemeClr val="dk1"/>
              </a:solidFill>
              <a:effectLst/>
              <a:latin typeface="+mn-lt"/>
              <a:ea typeface="+mn-ea"/>
              <a:cs typeface="+mn-cs"/>
            </a:rPr>
            <a:t> *</a:t>
          </a:r>
          <a:r>
            <a:rPr lang="en-US" sz="1100" b="0" i="0">
              <a:solidFill>
                <a:schemeClr val="dk1"/>
              </a:solidFill>
              <a:effectLst/>
              <a:latin typeface="+mn-lt"/>
              <a:ea typeface="+mn-ea"/>
              <a:cs typeface="+mn-cs"/>
            </a:rPr>
            <a:t>,</a:t>
          </a:r>
          <a:r>
            <a:rPr lang="en-US" sz="1100" b="1" i="0" u="none" strike="noStrike">
              <a:solidFill>
                <a:schemeClr val="dk1"/>
              </a:solidFill>
              <a:effectLst/>
              <a:latin typeface="+mn-lt"/>
              <a:ea typeface="+mn-ea"/>
              <a:cs typeface="+mn-cs"/>
              <a:hlinkClick xmlns:r="http://schemas.openxmlformats.org/officeDocument/2006/relationships" r:id=""/>
            </a:rPr>
            <a:t>Michelina Pusceddu</a:t>
          </a:r>
          <a:r>
            <a:rPr lang="en-US" sz="1100" b="1" i="0" u="none" strike="noStrike">
              <a:solidFill>
                <a:schemeClr val="dk1"/>
              </a:solidFill>
              <a:effectLst/>
              <a:latin typeface="+mn-lt"/>
              <a:ea typeface="+mn-ea"/>
              <a:cs typeface="+mn-cs"/>
            </a:rPr>
            <a:t>, </a:t>
          </a:r>
          <a:r>
            <a:rPr lang="en-US" sz="1100" b="0" i="0">
              <a:solidFill>
                <a:schemeClr val="dk1"/>
              </a:solidFill>
              <a:effectLst/>
              <a:latin typeface="+mn-lt"/>
              <a:ea typeface="+mn-ea"/>
              <a:cs typeface="+mn-cs"/>
            </a:rPr>
            <a:t> and</a:t>
          </a:r>
          <a:r>
            <a:rPr lang="en-US" sz="1100" b="1" i="0" u="none" strike="noStrike">
              <a:solidFill>
                <a:schemeClr val="dk1"/>
              </a:solidFill>
              <a:effectLst/>
              <a:latin typeface="+mn-lt"/>
              <a:ea typeface="+mn-ea"/>
              <a:cs typeface="+mn-cs"/>
              <a:hlinkClick xmlns:r="http://schemas.openxmlformats.org/officeDocument/2006/relationships" r:id=""/>
            </a:rPr>
            <a:t>Alberto Satta</a:t>
          </a:r>
          <a:r>
            <a:rPr lang="en-US" sz="1100" b="0" i="1">
              <a:solidFill>
                <a:schemeClr val="dk1"/>
              </a:solidFill>
              <a:effectLst/>
              <a:latin typeface="+mn-lt"/>
              <a:ea typeface="+mn-ea"/>
              <a:cs typeface="+mn-cs"/>
            </a:rPr>
            <a:t>Vet. Sci.</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2020</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7</a:t>
          </a:r>
          <a:r>
            <a:rPr lang="en-US" sz="1100" b="0" i="0">
              <a:solidFill>
                <a:schemeClr val="dk1"/>
              </a:solidFill>
              <a:effectLst/>
              <a:latin typeface="+mn-lt"/>
              <a:ea typeface="+mn-ea"/>
              <a:cs typeface="+mn-cs"/>
            </a:rPr>
            <a:t>(3), 136; </a:t>
          </a:r>
          <a:r>
            <a:rPr lang="en-US" sz="1100" b="1" i="0" u="none" strike="noStrike">
              <a:solidFill>
                <a:schemeClr val="dk1"/>
              </a:solidFill>
              <a:effectLst/>
              <a:latin typeface="+mn-lt"/>
              <a:ea typeface="+mn-ea"/>
              <a:cs typeface="+mn-cs"/>
              <a:hlinkClick xmlns:r="http://schemas.openxmlformats.org/officeDocument/2006/relationships" r:id=""/>
            </a:rPr>
            <a:t>https://doi.org/10.3390/vetsci7030136</a:t>
          </a:r>
          <a:endParaRPr lang="en-US" sz="1100" b="0" i="0">
            <a:solidFill>
              <a:schemeClr val="dk1"/>
            </a:solidFill>
            <a:effectLst/>
            <a:latin typeface="+mn-lt"/>
            <a:ea typeface="+mn-ea"/>
            <a:cs typeface="+mn-cs"/>
          </a:endParaRPr>
        </a:p>
        <a:p>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cstate="print"/>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twoCellAnchor>
    <xdr:from>
      <xdr:col>10</xdr:col>
      <xdr:colOff>149225</xdr:colOff>
      <xdr:row>9</xdr:row>
      <xdr:rowOff>22225</xdr:rowOff>
    </xdr:from>
    <xdr:to>
      <xdr:col>17</xdr:col>
      <xdr:colOff>454025</xdr:colOff>
      <xdr:row>22</xdr:row>
      <xdr:rowOff>98425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3" name="Up Arrow 2"/>
        <xdr:cNvSpPr>
          <a:spLocks noChangeAspect="1"/>
        </xdr:cNvSpPr>
      </xdr:nvSpPr>
      <xdr:spPr>
        <a:xfrm>
          <a:off x="4648200" y="1635125"/>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4" name="Up Arrow 3"/>
        <xdr:cNvSpPr>
          <a:spLocks noChangeAspect="1"/>
        </xdr:cNvSpPr>
      </xdr:nvSpPr>
      <xdr:spPr>
        <a:xfrm rot="10800000">
          <a:off x="4629150" y="2979271"/>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224118</xdr:colOff>
      <xdr:row>28</xdr:row>
      <xdr:rowOff>463177</xdr:rowOff>
    </xdr:from>
    <xdr:to>
      <xdr:col>26</xdr:col>
      <xdr:colOff>100107</xdr:colOff>
      <xdr:row>65</xdr:row>
      <xdr:rowOff>64060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50706" y="4855883"/>
          <a:ext cx="4776695" cy="6219824"/>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8" name="TextBox 7"/>
        <xdr:cNvSpPr txBox="1"/>
      </xdr:nvSpPr>
      <xdr:spPr>
        <a:xfrm>
          <a:off x="3641912" y="11338486"/>
          <a:ext cx="4775947" cy="827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7.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 value vs.</a:t>
          </a:r>
        </a:p>
        <a:p xmlns:a="http://schemas.openxmlformats.org/drawingml/2006/main">
          <a:pPr algn="ctr"/>
          <a:r>
            <a:rPr lang="en-US" sz="2000" b="1"/>
            <a:t>absolute change in</a:t>
          </a:r>
          <a:r>
            <a:rPr lang="en-US" sz="2000" b="1" baseline="0"/>
            <a:t> mite population independent of those lost due to treatment </a:t>
          </a: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zoomScale="90" zoomScaleNormal="90" workbookViewId="0">
      <selection activeCell="D21" sqref="D21:AA21"/>
    </sheetView>
  </sheetViews>
  <sheetFormatPr defaultRowHeight="12.5" x14ac:dyDescent="0.25"/>
  <cols>
    <col min="1" max="1" width="2.6328125" customWidth="1"/>
    <col min="2" max="2" width="15.6328125" bestFit="1" customWidth="1"/>
    <col min="3" max="30" width="5.1796875" customWidth="1"/>
    <col min="31"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81640625" customWidth="1"/>
    <col min="52" max="52" width="7" customWidth="1"/>
    <col min="53" max="53" width="8.54296875" customWidth="1"/>
    <col min="54" max="54" width="8.54296875" style="376" customWidth="1"/>
    <col min="55" max="55" width="8.54296875" customWidth="1"/>
    <col min="56" max="56" width="8.81640625" customWidth="1"/>
    <col min="57" max="57" width="12.54296875" customWidth="1"/>
    <col min="58" max="62" width="12.81640625" customWidth="1"/>
    <col min="63" max="64" width="10.54296875" customWidth="1"/>
    <col min="66" max="66" width="10.81640625" customWidth="1"/>
    <col min="68" max="68" width="8.54296875" customWidth="1"/>
    <col min="69" max="69" width="10.81640625" customWidth="1"/>
    <col min="71" max="71" width="10.81640625" customWidth="1"/>
    <col min="74" max="74" width="10.81640625" customWidth="1"/>
    <col min="75" max="75" width="8.81640625" style="255" customWidth="1"/>
    <col min="76" max="83" width="10.81640625" style="255" customWidth="1"/>
    <col min="84" max="84" width="11.81640625" style="255" customWidth="1"/>
    <col min="85" max="89" width="10.81640625" style="255" customWidth="1"/>
    <col min="90" max="100" width="10.81640625" customWidth="1"/>
    <col min="101" max="101" width="10.54296875" customWidth="1"/>
    <col min="102" max="102" width="9.81640625" customWidth="1"/>
    <col min="105" max="105" width="15" customWidth="1"/>
    <col min="106" max="106" width="11.54296875" bestFit="1" customWidth="1"/>
    <col min="107" max="108" width="10.81640625" customWidth="1"/>
    <col min="109" max="115" width="12.81640625" customWidth="1"/>
    <col min="116" max="116" width="15" customWidth="1"/>
    <col min="117" max="117" width="11.453125" customWidth="1"/>
    <col min="118" max="118" width="9.81640625" customWidth="1"/>
    <col min="119" max="119" width="12.81640625" style="18" customWidth="1"/>
    <col min="120" max="120" width="12.81640625" style="57" customWidth="1"/>
    <col min="121" max="121" width="12.81640625" style="18" customWidth="1"/>
    <col min="122" max="122" width="15" customWidth="1"/>
    <col min="123" max="123" width="11.81640625" customWidth="1"/>
    <col min="124" max="126" width="10.81640625" customWidth="1"/>
    <col min="127" max="128" width="9.81640625" customWidth="1"/>
    <col min="129" max="130" width="10.81640625" customWidth="1"/>
    <col min="131" max="132" width="9.81640625" customWidth="1"/>
    <col min="133" max="133" width="10.81640625" customWidth="1"/>
    <col min="134" max="136" width="9.81640625" customWidth="1"/>
    <col min="137" max="137" width="12.81640625" customWidth="1"/>
    <col min="138" max="139" width="9.81640625" customWidth="1"/>
    <col min="140" max="142" width="10.81640625" customWidth="1"/>
  </cols>
  <sheetData>
    <row r="1" spans="1:168" ht="13" x14ac:dyDescent="0.3">
      <c r="AE1" s="564" t="s">
        <v>354</v>
      </c>
      <c r="AF1" s="564"/>
      <c r="AG1" s="564"/>
      <c r="AH1" s="564"/>
      <c r="AI1" s="564"/>
      <c r="AJ1" s="564"/>
      <c r="AK1" s="564"/>
      <c r="AL1" s="564"/>
      <c r="AM1" s="564"/>
      <c r="AN1" s="564"/>
      <c r="AO1" s="564"/>
      <c r="AP1" s="564"/>
      <c r="AQ1" s="564"/>
      <c r="AR1" s="564"/>
      <c r="AS1" s="564"/>
      <c r="AT1" s="564"/>
      <c r="AU1" s="564"/>
      <c r="AV1" s="564"/>
      <c r="AW1" s="564"/>
      <c r="AX1" s="564"/>
      <c r="BO1" s="500" t="s">
        <v>108</v>
      </c>
      <c r="BP1" s="500"/>
      <c r="BQ1" s="500"/>
      <c r="BR1" s="500"/>
      <c r="BS1" s="500"/>
      <c r="BT1" s="501" t="s">
        <v>109</v>
      </c>
      <c r="BU1" s="501"/>
      <c r="BV1" s="501"/>
      <c r="BW1" s="501"/>
      <c r="BX1" s="501"/>
      <c r="BY1" s="501"/>
      <c r="BZ1" s="501"/>
      <c r="CA1" s="501"/>
      <c r="CB1" s="501"/>
      <c r="CC1" s="501"/>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502" t="s">
        <v>221</v>
      </c>
      <c r="DC1" s="502"/>
      <c r="DD1" s="376"/>
      <c r="DE1" s="139" t="s">
        <v>149</v>
      </c>
      <c r="DF1" s="57"/>
      <c r="DG1" s="57"/>
      <c r="DH1" s="138" t="s">
        <v>150</v>
      </c>
      <c r="DJ1" s="368" t="s">
        <v>151</v>
      </c>
      <c r="DK1" s="368" t="s">
        <v>151</v>
      </c>
      <c r="DL1" s="246" t="s">
        <v>150</v>
      </c>
      <c r="DM1" s="368" t="s">
        <v>151</v>
      </c>
      <c r="DN1" s="44"/>
      <c r="DO1" s="57"/>
      <c r="DQ1" s="368" t="s">
        <v>151</v>
      </c>
      <c r="DR1" s="139" t="s">
        <v>149</v>
      </c>
      <c r="DS1" s="139"/>
      <c r="DU1" s="505" t="s">
        <v>287</v>
      </c>
      <c r="DV1" s="505"/>
      <c r="DW1" s="505"/>
      <c r="EB1" s="506" t="s">
        <v>216</v>
      </c>
      <c r="EC1" s="506"/>
      <c r="ED1" s="506"/>
      <c r="EE1" s="506"/>
      <c r="EF1" s="506"/>
      <c r="EG1" s="506"/>
      <c r="EI1" s="507" t="s">
        <v>179</v>
      </c>
      <c r="EJ1" s="507"/>
      <c r="EK1" s="507"/>
    </row>
    <row r="2" spans="1:168" s="150" customFormat="1" ht="12.75" customHeight="1" x14ac:dyDescent="0.3">
      <c r="J2" s="150">
        <v>100</v>
      </c>
      <c r="K2" s="150">
        <v>50</v>
      </c>
      <c r="P2" s="150">
        <v>50</v>
      </c>
      <c r="Q2" s="150">
        <v>85</v>
      </c>
      <c r="R2" s="150" t="s">
        <v>360</v>
      </c>
      <c r="AE2" s="573"/>
      <c r="AF2" s="573"/>
      <c r="AG2" s="573"/>
      <c r="AH2" s="573"/>
      <c r="AI2" s="573"/>
      <c r="AJ2" s="273"/>
      <c r="AK2" s="273"/>
      <c r="AL2" s="273"/>
      <c r="AM2" s="273"/>
      <c r="AN2" s="273"/>
      <c r="AO2" s="273"/>
      <c r="AP2" s="273"/>
      <c r="AQ2" s="273"/>
      <c r="AR2" s="273"/>
      <c r="AS2" s="273"/>
      <c r="AT2" s="273"/>
      <c r="AU2" s="273"/>
      <c r="AV2" s="273"/>
      <c r="AW2" s="273"/>
      <c r="AX2" s="273"/>
      <c r="BB2" s="370"/>
      <c r="BE2" s="370" t="s">
        <v>208</v>
      </c>
      <c r="BM2" s="269"/>
      <c r="BN2" s="269"/>
      <c r="BO2" s="270" t="s">
        <v>228</v>
      </c>
      <c r="BP2" s="172"/>
      <c r="BQ2" s="274" t="s">
        <v>208</v>
      </c>
      <c r="BR2" s="172"/>
      <c r="BS2" s="370" t="s">
        <v>208</v>
      </c>
      <c r="BT2" s="370"/>
      <c r="BU2" s="370"/>
      <c r="BV2" s="370" t="s">
        <v>208</v>
      </c>
      <c r="BW2" s="370"/>
      <c r="BX2" s="370" t="s">
        <v>208</v>
      </c>
      <c r="BY2" s="370" t="s">
        <v>208</v>
      </c>
      <c r="BZ2" s="274"/>
      <c r="CA2" s="370"/>
      <c r="CB2" s="370"/>
      <c r="CC2" s="370" t="s">
        <v>208</v>
      </c>
      <c r="CD2" s="172"/>
      <c r="CE2" s="274" t="s">
        <v>208</v>
      </c>
      <c r="CF2" s="370"/>
      <c r="CG2" s="370"/>
      <c r="CH2" s="370"/>
      <c r="CI2" s="370"/>
      <c r="CJ2" s="370" t="s">
        <v>326</v>
      </c>
      <c r="CK2" s="150" t="s">
        <v>326</v>
      </c>
      <c r="CL2" s="370" t="s">
        <v>208</v>
      </c>
      <c r="CM2" s="274" t="s">
        <v>208</v>
      </c>
      <c r="CN2" s="370"/>
      <c r="CO2" s="370"/>
      <c r="CP2" s="370"/>
      <c r="CQ2" s="370"/>
      <c r="CR2" s="370"/>
      <c r="CS2" s="370"/>
      <c r="CT2" s="370" t="s">
        <v>326</v>
      </c>
      <c r="CU2" s="150" t="s">
        <v>326</v>
      </c>
      <c r="CV2" s="370"/>
      <c r="CW2" s="370"/>
      <c r="CX2" s="274" t="s">
        <v>208</v>
      </c>
      <c r="CY2" s="370"/>
      <c r="CZ2" s="370"/>
      <c r="DA2" s="370" t="s">
        <v>208</v>
      </c>
      <c r="DB2" s="370" t="s">
        <v>208</v>
      </c>
      <c r="DC2" s="293" t="s">
        <v>208</v>
      </c>
      <c r="DD2" s="370"/>
      <c r="DE2" s="370"/>
      <c r="DF2" s="267" t="s">
        <v>208</v>
      </c>
      <c r="DG2" s="268" t="s">
        <v>208</v>
      </c>
      <c r="DH2" s="370" t="s">
        <v>208</v>
      </c>
      <c r="DK2" s="370" t="s">
        <v>208</v>
      </c>
      <c r="DL2" s="292" t="s">
        <v>208</v>
      </c>
      <c r="DM2" s="260" t="s">
        <v>208</v>
      </c>
      <c r="DN2" s="370"/>
      <c r="DO2" s="370"/>
      <c r="DP2" s="387"/>
      <c r="DQ2" s="370" t="s">
        <v>208</v>
      </c>
      <c r="DR2" s="370"/>
      <c r="DS2" s="370"/>
      <c r="DT2" s="370"/>
      <c r="DU2" s="505"/>
      <c r="DV2" s="505"/>
      <c r="DW2" s="505"/>
      <c r="DX2" s="508" t="s">
        <v>208</v>
      </c>
      <c r="DY2" s="508"/>
      <c r="DZ2" s="386"/>
      <c r="EA2" s="369"/>
      <c r="EB2" s="509" t="s">
        <v>208</v>
      </c>
      <c r="EC2" s="510"/>
      <c r="ED2" s="510"/>
      <c r="EE2" s="370"/>
      <c r="EF2" s="370" t="s">
        <v>208</v>
      </c>
      <c r="EG2" s="370" t="s">
        <v>208</v>
      </c>
      <c r="EH2" s="370"/>
      <c r="EI2" s="258"/>
      <c r="EJ2" s="258" t="s">
        <v>208</v>
      </c>
      <c r="EK2" s="370" t="s">
        <v>208</v>
      </c>
    </row>
    <row r="3" spans="1:168" ht="89.25" customHeight="1" x14ac:dyDescent="0.25">
      <c r="A3" s="399"/>
      <c r="AE3" s="419"/>
      <c r="AF3" s="396"/>
      <c r="AL3" s="253"/>
      <c r="AM3" s="253"/>
      <c r="AN3" s="253"/>
      <c r="AT3" s="253"/>
      <c r="AU3" s="253"/>
      <c r="AV3" s="253"/>
      <c r="AW3" s="253"/>
      <c r="AZ3" s="371" t="s">
        <v>134</v>
      </c>
      <c r="BA3" s="1" t="s">
        <v>154</v>
      </c>
      <c r="BB3" s="371" t="s">
        <v>295</v>
      </c>
      <c r="BC3" s="232" t="s">
        <v>191</v>
      </c>
      <c r="BD3" s="122" t="str">
        <f>DW3</f>
        <v>Alcohol wash of 1/2 cup of young bees</v>
      </c>
      <c r="BE3" s="158" t="s">
        <v>142</v>
      </c>
      <c r="BF3" s="371" t="s">
        <v>140</v>
      </c>
      <c r="BG3" s="503" t="s">
        <v>152</v>
      </c>
      <c r="BH3" s="503"/>
      <c r="BI3" s="503"/>
      <c r="BJ3" s="503"/>
      <c r="BK3" s="503"/>
      <c r="BL3" s="503"/>
      <c r="BM3" s="504" t="s">
        <v>227</v>
      </c>
      <c r="BN3" s="504"/>
      <c r="BO3" s="364" t="s">
        <v>0</v>
      </c>
      <c r="BP3" s="63" t="s">
        <v>92</v>
      </c>
      <c r="BQ3" s="24" t="s">
        <v>7</v>
      </c>
      <c r="BR3" s="372" t="s">
        <v>93</v>
      </c>
      <c r="BS3" s="25" t="s">
        <v>9</v>
      </c>
      <c r="BT3" s="367" t="s">
        <v>8</v>
      </c>
      <c r="BU3" s="367" t="s">
        <v>91</v>
      </c>
      <c r="BV3" s="367" t="s">
        <v>145</v>
      </c>
      <c r="BW3" s="367" t="s">
        <v>10</v>
      </c>
      <c r="BX3" s="142" t="s">
        <v>143</v>
      </c>
      <c r="BY3" s="140" t="s">
        <v>98</v>
      </c>
      <c r="BZ3" s="367" t="s">
        <v>95</v>
      </c>
      <c r="CA3" s="129" t="s">
        <v>94</v>
      </c>
      <c r="CB3" s="367" t="s">
        <v>99</v>
      </c>
      <c r="CC3" s="26" t="s">
        <v>97</v>
      </c>
      <c r="CD3" s="171" t="s">
        <v>297</v>
      </c>
      <c r="CE3" s="303" t="s">
        <v>298</v>
      </c>
      <c r="CF3" s="69" t="s">
        <v>300</v>
      </c>
      <c r="CG3" s="69" t="s">
        <v>301</v>
      </c>
      <c r="CH3" s="69" t="s">
        <v>100</v>
      </c>
      <c r="CI3" s="69" t="s">
        <v>115</v>
      </c>
      <c r="CJ3" s="69" t="s">
        <v>136</v>
      </c>
      <c r="CK3" s="69" t="s">
        <v>139</v>
      </c>
      <c r="CL3" s="69" t="s">
        <v>103</v>
      </c>
      <c r="CM3" s="69" t="s">
        <v>135</v>
      </c>
      <c r="CN3" s="69" t="s">
        <v>120</v>
      </c>
      <c r="CO3" s="69" t="s">
        <v>119</v>
      </c>
      <c r="CP3" s="360" t="s">
        <v>122</v>
      </c>
      <c r="CQ3" s="70" t="s">
        <v>96</v>
      </c>
      <c r="CR3" s="360" t="s">
        <v>101</v>
      </c>
      <c r="CS3" s="360" t="s">
        <v>116</v>
      </c>
      <c r="CT3" s="361" t="s">
        <v>137</v>
      </c>
      <c r="CU3" s="361" t="s">
        <v>138</v>
      </c>
      <c r="CV3" s="360" t="s">
        <v>102</v>
      </c>
      <c r="CW3" s="360" t="s">
        <v>104</v>
      </c>
      <c r="CX3" s="360" t="s">
        <v>135</v>
      </c>
      <c r="CY3" s="360" t="s">
        <v>120</v>
      </c>
      <c r="CZ3" s="360" t="s">
        <v>121</v>
      </c>
      <c r="DA3" s="362" t="s">
        <v>213</v>
      </c>
      <c r="DB3" s="132" t="s">
        <v>220</v>
      </c>
      <c r="DC3" s="132" t="s">
        <v>212</v>
      </c>
      <c r="DD3" s="132"/>
      <c r="DE3" s="56" t="s">
        <v>199</v>
      </c>
      <c r="DF3" s="132" t="s">
        <v>215</v>
      </c>
      <c r="DG3" s="132" t="s">
        <v>209</v>
      </c>
      <c r="DH3" s="147" t="s">
        <v>201</v>
      </c>
      <c r="DI3" s="132" t="s">
        <v>218</v>
      </c>
      <c r="DJ3" s="134" t="s">
        <v>219</v>
      </c>
      <c r="DK3" s="134" t="s">
        <v>211</v>
      </c>
      <c r="DL3" s="247" t="s">
        <v>113</v>
      </c>
      <c r="DM3" s="136" t="s">
        <v>133</v>
      </c>
      <c r="DN3" s="97" t="s">
        <v>224</v>
      </c>
      <c r="DO3" s="132" t="s">
        <v>223</v>
      </c>
      <c r="DP3" s="96" t="s">
        <v>344</v>
      </c>
      <c r="DQ3" s="134" t="s">
        <v>127</v>
      </c>
      <c r="DR3" s="56" t="s">
        <v>222</v>
      </c>
      <c r="DS3" s="367" t="s">
        <v>294</v>
      </c>
      <c r="DT3" s="364" t="s">
        <v>0</v>
      </c>
      <c r="DU3" s="367" t="s">
        <v>11</v>
      </c>
      <c r="DV3" s="26" t="s">
        <v>12</v>
      </c>
      <c r="DW3" s="62" t="s">
        <v>114</v>
      </c>
      <c r="DX3" s="350" t="s">
        <v>387</v>
      </c>
      <c r="DY3" s="350" t="s">
        <v>390</v>
      </c>
      <c r="DZ3" s="350" t="s">
        <v>388</v>
      </c>
      <c r="EA3" s="350" t="s">
        <v>296</v>
      </c>
      <c r="EB3" s="367" t="s">
        <v>125</v>
      </c>
      <c r="EC3" s="367" t="s">
        <v>126</v>
      </c>
      <c r="ED3" s="26" t="s">
        <v>205</v>
      </c>
      <c r="EE3" s="26" t="s">
        <v>325</v>
      </c>
      <c r="EF3" s="26" t="s">
        <v>155</v>
      </c>
      <c r="EG3" s="261" t="s">
        <v>206</v>
      </c>
      <c r="EI3" s="367" t="s">
        <v>176</v>
      </c>
      <c r="EJ3" s="167" t="s">
        <v>177</v>
      </c>
      <c r="EK3" s="367" t="s">
        <v>178</v>
      </c>
      <c r="EO3" s="511" t="s">
        <v>217</v>
      </c>
      <c r="EP3" s="511"/>
      <c r="ER3" s="248" t="s">
        <v>159</v>
      </c>
      <c r="ES3" s="367" t="s">
        <v>89</v>
      </c>
    </row>
    <row r="4" spans="1:168" ht="13" x14ac:dyDescent="0.3">
      <c r="A4" s="54"/>
      <c r="B4" s="403"/>
      <c r="AZ4" s="405">
        <f>IF($AB$20="x", EP4,EO4)</f>
        <v>40544</v>
      </c>
      <c r="BA4" s="59">
        <f t="shared" ref="BA4:BA27" si="0">IF(EA4&gt;0,"",DE4)</f>
        <v>100</v>
      </c>
      <c r="BB4" s="301">
        <f>IF(EA4&gt;0,"",DS4)</f>
        <v>-5.0125418235442759E-3</v>
      </c>
      <c r="BC4" s="233">
        <f t="shared" ref="BC4:BC28" si="1">IF(EA4&gt;0,"",DL4)</f>
        <v>0</v>
      </c>
      <c r="BD4" s="123">
        <f>IF(EA4&gt;0,"",DW4)</f>
        <v>1.96875</v>
      </c>
      <c r="BE4" s="4" t="str">
        <f t="shared" ref="BE4:BE28" si="2">IF(EA4&gt;0,"",IF(BS4&lt;5,"n/a",CT4))</f>
        <v>n/a</v>
      </c>
      <c r="BF4" s="3">
        <f t="shared" ref="BF4:BF28" si="3">IF(EA4&gt;0,"",BZ4)</f>
        <v>1</v>
      </c>
      <c r="BG4" s="126"/>
      <c r="BH4" s="512"/>
      <c r="BI4" s="512"/>
      <c r="BJ4" s="512"/>
      <c r="BK4" s="126"/>
      <c r="BL4" s="126"/>
      <c r="BM4" s="126"/>
      <c r="BN4" s="511" t="s">
        <v>90</v>
      </c>
      <c r="BO4" s="271">
        <f>AZ4</f>
        <v>40544</v>
      </c>
      <c r="BP4" s="375">
        <f>IF($AZ$31="d",'Colony Type'!H31,IF($AZ$31="n",'Colony Type'!H59,IF($AZ$31="p",'Colony Type'!H87,IF($AZ$31="a",'Colony Type'!H115,IF($AZ$31="b",'Colony Type'!H143,IF($AZ$31="c",'Colony Type'!H171,IF($AZ$31="r",'Colony Type'!H199,IF($AZ$31="s",'Colony Type'!H227,IF($AZ$31="f",'Colony Type'!H255,"error")))))))))</f>
        <v>8</v>
      </c>
      <c r="BQ4">
        <f t="shared" ref="BQ4:BQ27" si="4">BP4*$BP$44</f>
        <v>16000</v>
      </c>
      <c r="BR4" s="81">
        <f>IF($AZ$31="d",'Colony Type'!F31,IF($AZ$31="n",'Colony Type'!F59,IF($AZ$31="p",'Colony Type'!F87,IF($AZ$31="a",'Colony Type'!F115,IF($AZ$31="b",'Colony Type'!F143,IF($AZ$31="c",'Colony Type'!F171,IF($AZ$31="r",'Colony Type'!F199,IF($AZ$31="s",'Colony Type'!F227,IF($AZ$31="f",'Colony Type'!F255,"error")))))))))</f>
        <v>0</v>
      </c>
      <c r="BS4" s="17">
        <f t="shared" ref="BS4:BS27" si="5">IF(BR4=0,1,$BP$43*BR4)</f>
        <v>1</v>
      </c>
      <c r="BT4" s="21">
        <f t="shared" ref="BT4:BT27" si="6">IF(BQ4=0,0,BS4/BQ4)</f>
        <v>6.2500000000000001E-5</v>
      </c>
      <c r="BU4">
        <f>BS4*12/20</f>
        <v>0.6</v>
      </c>
      <c r="BV4" s="18">
        <f>CT4*BU4</f>
        <v>0</v>
      </c>
      <c r="BW4" s="18">
        <f t="shared" ref="BW4:BW27" si="7">BS4/20</f>
        <v>0.05</v>
      </c>
      <c r="BX4" s="141">
        <f>IF(BT4=0,0.001,(-$BP$42*LN(BT4))+$BP$41)</f>
        <v>53.401720006109592</v>
      </c>
      <c r="BY4" s="27">
        <f t="shared" ref="BY4:BY27" si="8">BX4+12</f>
        <v>65.401720006109599</v>
      </c>
      <c r="BZ4" s="32">
        <f t="shared" ref="BZ4:BZ27" si="9">IF(BR4=0,1,BX4/BY4)</f>
        <v>1</v>
      </c>
      <c r="CA4" s="130">
        <f t="shared" ref="CA4:CA27" si="10">1-BZ4</f>
        <v>0</v>
      </c>
      <c r="CB4" s="28">
        <f t="shared" ref="CB4:CB28" si="11">DE4*CA4</f>
        <v>0</v>
      </c>
      <c r="CC4" s="255">
        <f t="shared" ref="CC4:CC27" si="12">0.6*BS4</f>
        <v>0.6</v>
      </c>
      <c r="CD4" s="80">
        <f>IF($AZ$31="d",'Colony Type'!J31,IF($AZ$31="n",'Colony Type'!J59,IF($AZ$31="p",'Colony Type'!J87,IF($AZ$31="a",'Colony Type'!J115,IF($AZ$31="b",'Colony Type'!J143,IF($AZ$31="c",'Colony Type'!J171,IF($AZ$31="r",'Colony Type'!J199,IF($AZ$31="s",'Colony Type'!J199,IF($AZ$31="f",'Colony Type'!J255,"error")))))))))</f>
        <v>0</v>
      </c>
      <c r="CE4" s="106">
        <f>CD4*16/25</f>
        <v>0</v>
      </c>
      <c r="CF4" s="75">
        <f>CE4*$BP$42</f>
        <v>0</v>
      </c>
      <c r="CG4" s="102">
        <f>CF4*CA4</f>
        <v>0</v>
      </c>
      <c r="CH4" s="72">
        <f t="shared" ref="CH4:CH27" si="13">CF4*CB4</f>
        <v>0</v>
      </c>
      <c r="CI4" s="73">
        <f>IF(CE4=0,0,CH4/(CC4*CE4))</f>
        <v>0</v>
      </c>
      <c r="CJ4" s="356">
        <f t="shared" ref="CJ4:CJ28" si="14">1-(POISSON(0,CI4,FALSE))</f>
        <v>0</v>
      </c>
      <c r="CK4" s="357">
        <f>IF(CJ4=0,0,CI4/CJ4)</f>
        <v>0</v>
      </c>
      <c r="CL4" s="73">
        <f t="shared" ref="CL4:CL27" si="15">BX4+15</f>
        <v>68.401720006109599</v>
      </c>
      <c r="CM4" s="355">
        <v>1</v>
      </c>
      <c r="CN4" s="84">
        <f t="shared" ref="CN4:CN27" si="16">(1+($BP$31*CM4))*$BP$46</f>
        <v>4.2749999999999995</v>
      </c>
      <c r="CO4" s="78">
        <f>LN(CN4)/14.75</f>
        <v>9.8493837450082944E-2</v>
      </c>
      <c r="CP4" s="103">
        <f>1-BZ4-CG4</f>
        <v>0</v>
      </c>
      <c r="CQ4" s="71">
        <f>(1-CE4)*CC4</f>
        <v>0.6</v>
      </c>
      <c r="CR4" s="71">
        <f t="shared" ref="CR4:CR27" si="17">CB4-CH4</f>
        <v>0</v>
      </c>
      <c r="CS4" s="74">
        <f t="shared" ref="CS4:CS27" si="18">CR4/CQ4</f>
        <v>0</v>
      </c>
      <c r="CT4" s="353">
        <f t="shared" ref="CT4:CT28" si="19">1-(POISSON(0,CS4,FALSE))</f>
        <v>0</v>
      </c>
      <c r="CU4" s="355">
        <f>CS4/(CT4+0.000001)</f>
        <v>0</v>
      </c>
      <c r="CV4" s="76">
        <f t="shared" ref="CV4:CV28" si="20">1-CF4</f>
        <v>1</v>
      </c>
      <c r="CW4" s="74">
        <f t="shared" ref="CW4:CW28" si="21">BX4+12</f>
        <v>65.401720006109599</v>
      </c>
      <c r="CX4" s="354">
        <v>1</v>
      </c>
      <c r="CY4" s="83">
        <f>(1+($BP$29*CX4))*$BP$46</f>
        <v>2.2586249999999999</v>
      </c>
      <c r="CZ4" s="79">
        <f t="shared" ref="CZ4:CZ28" si="22">IF(DE4&gt;2*CQ4,0,LN(CY4)/12.5)</f>
        <v>0</v>
      </c>
      <c r="DA4" s="112">
        <f t="shared" ref="DA4:DA28" si="23">(CG4*CO4+CP4*CZ4)</f>
        <v>0</v>
      </c>
      <c r="DB4" s="55">
        <f t="shared" ref="DB4:DB28" si="24">IF(BT4&gt;0.25,$BV$38,$BV$37)</f>
        <v>-5.0125418235442863E-3</v>
      </c>
      <c r="DC4" s="133">
        <f t="shared" ref="DC4:DC27" si="25">DA4+DB4</f>
        <v>-5.0125418235442863E-3</v>
      </c>
      <c r="DD4" s="146"/>
      <c r="DE4" s="105">
        <f>IF(OR($AZ$31="n",$AZ$31="p"),0,AZ32)</f>
        <v>100</v>
      </c>
      <c r="DF4" s="240">
        <f t="shared" ref="DF4:DF28" si="26">DE4*$BP$30</f>
        <v>70</v>
      </c>
      <c r="DG4" s="239">
        <f>DF4</f>
        <v>70</v>
      </c>
      <c r="DH4" s="148">
        <f>DG4*EXP(DA4*$BP$36)-DG4</f>
        <v>0</v>
      </c>
      <c r="DI4" s="17">
        <f>DE4+DH4</f>
        <v>100</v>
      </c>
      <c r="DJ4" s="266">
        <f>DI4-DK4</f>
        <v>7.3399166893701562</v>
      </c>
      <c r="DK4" s="135">
        <f t="shared" ref="DK4:DK28" si="27">DI4*EXP((IF(BT4&gt;0.25,$BV$38,$BV$37)*$BP$36))</f>
        <v>92.660083310629844</v>
      </c>
      <c r="DL4" s="244">
        <f>'Mite Immigration'!C12</f>
        <v>0</v>
      </c>
      <c r="DM4" s="137"/>
      <c r="DN4" s="238"/>
      <c r="DO4" s="265">
        <f t="shared" ref="DO4:DO28" si="28">DK4+DN4</f>
        <v>92.660083310629844</v>
      </c>
      <c r="DP4" s="392">
        <f>EJ$32</f>
        <v>0</v>
      </c>
      <c r="DQ4" s="135">
        <f>DO4*DP4</f>
        <v>0</v>
      </c>
      <c r="DR4" s="95">
        <f t="shared" ref="DR4:DR28" si="29">DO4-DQ4</f>
        <v>92.660083310629844</v>
      </c>
      <c r="DS4" s="29">
        <f t="shared" ref="DS4:DS28" si="30">LN(DR4/DE4)/$BP$36</f>
        <v>-5.0125418235442759E-3</v>
      </c>
      <c r="DT4" s="271">
        <f t="shared" ref="DT4:DT28" si="31">AZ4</f>
        <v>40544</v>
      </c>
      <c r="DU4" s="89">
        <f t="shared" ref="DU4:DU28" si="32">DE4*BZ4</f>
        <v>100</v>
      </c>
      <c r="DV4" s="29">
        <f t="shared" ref="DV4:DV28" si="33">IF(BQ4=0,0.001,DU4/BQ4)</f>
        <v>6.2500000000000003E-3</v>
      </c>
      <c r="DW4" s="145">
        <f t="shared" ref="DW4:DW27" si="34">DV4*315</f>
        <v>1.96875</v>
      </c>
      <c r="DX4" s="90"/>
      <c r="DY4" s="90"/>
      <c r="DZ4" s="90"/>
      <c r="EA4" s="90"/>
      <c r="EB4" s="90"/>
      <c r="EC4" s="90"/>
      <c r="ED4" s="12"/>
      <c r="EE4" s="12"/>
      <c r="EF4" s="237"/>
      <c r="EG4" s="262"/>
      <c r="EI4" s="351">
        <f>DE4</f>
        <v>100</v>
      </c>
      <c r="EJ4" s="163">
        <v>0</v>
      </c>
      <c r="EK4" s="352">
        <v>0.5</v>
      </c>
      <c r="EO4" s="2">
        <v>40544</v>
      </c>
      <c r="EP4" s="259">
        <v>42917</v>
      </c>
      <c r="EQ4" s="18"/>
      <c r="ER4" s="249"/>
      <c r="ET4" s="18"/>
      <c r="EU4" s="18"/>
      <c r="EV4" s="18"/>
      <c r="EW4" s="18"/>
      <c r="EX4" s="18"/>
      <c r="EY4" s="18"/>
      <c r="EZ4" s="18"/>
      <c r="FA4" s="18"/>
      <c r="FB4" s="18"/>
      <c r="FC4" s="18"/>
      <c r="FD4" s="18"/>
      <c r="FE4" s="18"/>
      <c r="FF4" s="18"/>
      <c r="FG4" s="18"/>
      <c r="FH4" s="18"/>
      <c r="FI4" s="18"/>
    </row>
    <row r="5" spans="1:168" ht="12.75" customHeight="1" x14ac:dyDescent="0.3">
      <c r="A5" s="54"/>
      <c r="B5" s="400"/>
      <c r="AE5" s="382"/>
      <c r="AF5" s="397"/>
      <c r="AZ5" s="405">
        <f t="shared" ref="AZ5:AZ28" si="35">IF($AB$20="x", EP5,EO5)</f>
        <v>40558</v>
      </c>
      <c r="BA5" s="59">
        <f t="shared" si="0"/>
        <v>92.660083310629844</v>
      </c>
      <c r="BB5" s="301">
        <f t="shared" ref="BB5:BB27" si="36">IF(EA5&gt;0,"",DS5)</f>
        <v>5.2233269783675549E-3</v>
      </c>
      <c r="BC5" s="233">
        <f t="shared" si="1"/>
        <v>0</v>
      </c>
      <c r="BD5" s="123">
        <f t="shared" ref="BD5:BD27" si="37">IF(EA5&gt;0,"",DW5)</f>
        <v>1.1011521708318264</v>
      </c>
      <c r="BE5" s="4">
        <f t="shared" si="2"/>
        <v>5.295877873559407E-2</v>
      </c>
      <c r="BF5" s="3">
        <f t="shared" si="3"/>
        <v>0.60362064049089725</v>
      </c>
      <c r="BG5" s="497">
        <v>0.95</v>
      </c>
      <c r="BH5" s="513" t="s">
        <v>309</v>
      </c>
      <c r="BI5" s="514"/>
      <c r="BJ5" s="514"/>
      <c r="BK5" s="514"/>
      <c r="BL5" s="515"/>
      <c r="BN5" s="511"/>
      <c r="BO5" s="271">
        <f t="shared" ref="BO5:BO28" si="38">AZ5</f>
        <v>40558</v>
      </c>
      <c r="BP5" s="375">
        <f>IF($AZ$31="d",'Colony Type'!H32,IF($AZ$31="n",'Colony Type'!H60,IF($AZ$31="p",'Colony Type'!H88,IF($AZ$31="a",'Colony Type'!H116,IF($AZ$31="b",'Colony Type'!H144,IF($AZ$31="c",'Colony Type'!H172,IF($AZ$31="r",'Colony Type'!H200,IF($AZ$31="s",'Colony Type'!H228,IF($AZ$31="f",'Colony Type'!H256,"error")))))))))</f>
        <v>8</v>
      </c>
      <c r="BQ5">
        <f t="shared" si="4"/>
        <v>16000</v>
      </c>
      <c r="BR5" s="81">
        <f>IF($AZ$31="d",'Colony Type'!F32,IF($AZ$31="n",'Colony Type'!F60,IF($AZ$31="p",'Colony Type'!F88,IF($AZ$31="a",'Colony Type'!F116,IF($AZ$31="b",'Colony Type'!F144,IF($AZ$31="c",'Colony Type'!F172,IF($AZ$31="r",'Colony Type'!F200,IF($AZ$31="s",'Colony Type'!F228,IF($AZ$31="f",'Colony Type'!F256,"error")))))))))</f>
        <v>0.25</v>
      </c>
      <c r="BS5" s="17">
        <f t="shared" si="5"/>
        <v>1125</v>
      </c>
      <c r="BT5" s="21">
        <f t="shared" si="6"/>
        <v>7.03125E-2</v>
      </c>
      <c r="BU5">
        <f t="shared" ref="BU5:BU27" si="39">BS5*12/20</f>
        <v>675</v>
      </c>
      <c r="BV5" s="18">
        <f t="shared" ref="BV5:BV27" si="40">CT5*BU5</f>
        <v>35.747175646525996</v>
      </c>
      <c r="BW5" s="18">
        <f t="shared" si="7"/>
        <v>56.25</v>
      </c>
      <c r="BX5" s="141">
        <f t="shared" ref="BX5:BX27" si="41">IF(BT5=0,0.001,(-$BP$42*LN(BT5))+$BP$41)</f>
        <v>18.274028432916989</v>
      </c>
      <c r="BY5" s="27">
        <f t="shared" si="8"/>
        <v>30.274028432916989</v>
      </c>
      <c r="BZ5" s="32">
        <f t="shared" si="9"/>
        <v>0.60362064049089725</v>
      </c>
      <c r="CA5" s="130">
        <f t="shared" si="10"/>
        <v>0.39637935950910275</v>
      </c>
      <c r="CB5" s="28">
        <f t="shared" si="11"/>
        <v>36.728544474727556</v>
      </c>
      <c r="CC5" s="255">
        <f t="shared" si="12"/>
        <v>675</v>
      </c>
      <c r="CD5" s="80">
        <f>IF($AZ$31="d",'Colony Type'!J32,IF($AZ$31="n",'Colony Type'!J60,IF($AZ$31="p",'Colony Type'!J88,IF($AZ$31="a",'Colony Type'!J116,IF($AZ$31="b",'Colony Type'!J144,IF($AZ$31="c",'Colony Type'!J172,IF($AZ$31="r",'Colony Type'!J200,IF($AZ$31="s",'Colony Type'!J200,IF($AZ$31="f",'Colony Type'!J256,"error")))))))))</f>
        <v>0</v>
      </c>
      <c r="CE5" s="106">
        <f t="shared" ref="CE5:CE28" si="42">CD5*16/25</f>
        <v>0</v>
      </c>
      <c r="CF5" s="75">
        <f t="shared" ref="CF5:CF28" si="43">CE5*$BP$42</f>
        <v>0</v>
      </c>
      <c r="CG5" s="102">
        <f t="shared" ref="CG5:CG27" si="44">CF5*CA5</f>
        <v>0</v>
      </c>
      <c r="CH5" s="72">
        <f t="shared" si="13"/>
        <v>0</v>
      </c>
      <c r="CI5" s="73">
        <f t="shared" ref="CI5:CI27" si="45">IF(CE5=0,0,CH5/(CC5*CE5))</f>
        <v>0</v>
      </c>
      <c r="CJ5" s="356">
        <f t="shared" si="14"/>
        <v>0</v>
      </c>
      <c r="CK5" s="357">
        <f t="shared" ref="CK5:CK27" si="46">IF(CJ5=0,0,CI5/CJ5)</f>
        <v>0</v>
      </c>
      <c r="CL5" s="73">
        <f t="shared" si="15"/>
        <v>33.274028432916992</v>
      </c>
      <c r="CM5" s="355">
        <v>1</v>
      </c>
      <c r="CN5" s="84">
        <f t="shared" si="16"/>
        <v>4.2749999999999995</v>
      </c>
      <c r="CO5" s="78">
        <f t="shared" ref="CO5:CO27" si="47">LN(CN5)/14.75</f>
        <v>9.8493837450082944E-2</v>
      </c>
      <c r="CP5" s="103">
        <f t="shared" ref="CP5:CP27" si="48">1-BZ5-CG5</f>
        <v>0.39637935950910275</v>
      </c>
      <c r="CQ5" s="71">
        <f t="shared" ref="CQ5:CQ27" si="49">(1-CE5)*CC5</f>
        <v>675</v>
      </c>
      <c r="CR5" s="71">
        <f>CB5-CH5</f>
        <v>36.728544474727556</v>
      </c>
      <c r="CS5" s="74">
        <f t="shared" si="18"/>
        <v>5.4412658481077861E-2</v>
      </c>
      <c r="CT5" s="353">
        <f t="shared" si="19"/>
        <v>5.295877873559407E-2</v>
      </c>
      <c r="CU5" s="355">
        <f t="shared" ref="CU5:CU28" si="50">CS5/(CT5+0.000001)</f>
        <v>1.0274336445538681</v>
      </c>
      <c r="CV5" s="76">
        <f t="shared" si="20"/>
        <v>1</v>
      </c>
      <c r="CW5" s="74">
        <f t="shared" si="21"/>
        <v>30.274028432916989</v>
      </c>
      <c r="CX5" s="354">
        <v>1</v>
      </c>
      <c r="CY5" s="83">
        <f t="shared" ref="CY5:CY28" si="51">(1+($BP$29*CX5))*$BP$46</f>
        <v>2.2586249999999999</v>
      </c>
      <c r="CZ5" s="79">
        <f t="shared" si="22"/>
        <v>6.518049768398862E-2</v>
      </c>
      <c r="DA5" s="112">
        <f t="shared" si="23"/>
        <v>2.5836203924463966E-2</v>
      </c>
      <c r="DB5" s="55">
        <f t="shared" si="24"/>
        <v>-5.0125418235442863E-3</v>
      </c>
      <c r="DC5" s="133">
        <f t="shared" si="25"/>
        <v>2.0823662100919679E-2</v>
      </c>
      <c r="DD5" s="133"/>
      <c r="DE5" s="377">
        <f>IF(OR($AZ$31="n",$AZ$31="p"),0,DR4)</f>
        <v>92.660083310629844</v>
      </c>
      <c r="DF5" s="240">
        <f t="shared" si="26"/>
        <v>64.862058317440884</v>
      </c>
      <c r="DG5" s="240">
        <f>DF5*(1-EK4)</f>
        <v>32.431029158720442</v>
      </c>
      <c r="DH5" s="148">
        <f t="shared" ref="DH5:DH14" si="52">DG5*EXP(DA5*$BP$36)-DG5</f>
        <v>15.609319551891964</v>
      </c>
      <c r="DI5" s="17">
        <f t="shared" ref="DI5:DI27" si="53">DE5+DH5</f>
        <v>108.26940286252182</v>
      </c>
      <c r="DJ5" s="266">
        <f t="shared" ref="DJ5:DJ27" si="54">DI5-DK5</f>
        <v>7.9468839701876561</v>
      </c>
      <c r="DK5" s="135">
        <f t="shared" si="27"/>
        <v>100.32251889233416</v>
      </c>
      <c r="DL5" s="244">
        <f>'Mite Immigration'!C13</f>
        <v>0</v>
      </c>
      <c r="DM5" s="137">
        <f t="shared" ref="DM5:DM27" si="55">IF(EG5&gt;DU5*EF5,-DU5*EF5,-EG5)</f>
        <v>-1.4354305084057733E-3</v>
      </c>
      <c r="DN5" s="98">
        <f>DL5+DM5</f>
        <v>-1.4354305084057733E-3</v>
      </c>
      <c r="DO5" s="265">
        <f t="shared" si="28"/>
        <v>100.32108346182575</v>
      </c>
      <c r="DP5" s="392">
        <f>EK$32</f>
        <v>0</v>
      </c>
      <c r="DQ5" s="135">
        <f t="shared" ref="DQ5:DQ27" si="56">DO5*DP5</f>
        <v>0</v>
      </c>
      <c r="DR5" s="95">
        <f t="shared" si="29"/>
        <v>100.32108346182575</v>
      </c>
      <c r="DS5" s="29">
        <f t="shared" si="30"/>
        <v>5.2233269783675549E-3</v>
      </c>
      <c r="DT5" s="271">
        <f t="shared" si="31"/>
        <v>40558</v>
      </c>
      <c r="DU5" s="89">
        <f t="shared" si="32"/>
        <v>55.931538835902288</v>
      </c>
      <c r="DV5" s="29">
        <f t="shared" si="33"/>
        <v>3.495721177243893E-3</v>
      </c>
      <c r="DW5" s="145">
        <f t="shared" si="34"/>
        <v>1.1011521708318264</v>
      </c>
      <c r="DX5" s="90"/>
      <c r="DY5" s="90"/>
      <c r="DZ5" s="90"/>
      <c r="EA5" s="90"/>
      <c r="EB5" s="17">
        <f t="shared" ref="EB5:EB28" si="57">BS4*0.9/20*$BP$36</f>
        <v>0.68437499999999996</v>
      </c>
      <c r="EC5" s="18">
        <f t="shared" ref="EC5:EC28" si="58">BQ5-BQ4</f>
        <v>0</v>
      </c>
      <c r="ED5" s="264">
        <f t="shared" ref="ED5:ED27" si="59">EB5-EC5</f>
        <v>0.68437499999999996</v>
      </c>
      <c r="EE5" s="264">
        <f>ED5/$BP$36</f>
        <v>4.4999999999999998E-2</v>
      </c>
      <c r="EF5" s="104">
        <f t="shared" ref="EF5:EF27" si="60">IF(DV5&gt;0.15,1,$BP$35)</f>
        <v>0.6</v>
      </c>
      <c r="EG5" s="263">
        <f t="shared" ref="EG5:EG27" si="61">ED5*EF5*DV5</f>
        <v>1.4354305084057733E-3</v>
      </c>
      <c r="EI5" s="17">
        <f t="shared" ref="EI5:EI28" si="62">DH5</f>
        <v>15.609319551891964</v>
      </c>
      <c r="EJ5" s="163">
        <v>0</v>
      </c>
      <c r="EK5" s="37">
        <f>EJ$59</f>
        <v>0</v>
      </c>
      <c r="EO5" s="2">
        <v>40558</v>
      </c>
      <c r="EP5" s="259">
        <v>42931</v>
      </c>
      <c r="EQ5" s="18"/>
      <c r="ER5" s="249"/>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0"/>
      <c r="AE6" s="382"/>
      <c r="AF6" s="397"/>
      <c r="AZ6" s="405">
        <f t="shared" si="35"/>
        <v>40575</v>
      </c>
      <c r="BA6" s="59">
        <f t="shared" si="0"/>
        <v>100.32108346182575</v>
      </c>
      <c r="BB6" s="301">
        <f t="shared" si="36"/>
        <v>1.4156209170941484E-2</v>
      </c>
      <c r="BC6" s="233">
        <f t="shared" si="1"/>
        <v>0</v>
      </c>
      <c r="BD6" s="123">
        <f t="shared" si="37"/>
        <v>1.1545713362615053</v>
      </c>
      <c r="BE6" s="4">
        <f t="shared" si="2"/>
        <v>4.569754999750375E-2</v>
      </c>
      <c r="BF6" s="3">
        <f t="shared" si="3"/>
        <v>0.58457196879000284</v>
      </c>
      <c r="BG6" s="498"/>
      <c r="BH6" s="516"/>
      <c r="BI6" s="517"/>
      <c r="BJ6" s="517"/>
      <c r="BK6" s="517"/>
      <c r="BL6" s="518"/>
      <c r="BN6" s="511"/>
      <c r="BO6" s="271">
        <f t="shared" si="38"/>
        <v>40575</v>
      </c>
      <c r="BP6" s="375">
        <f>IF($AZ$31="d",'Colony Type'!H33,IF($AZ$31="n",'Colony Type'!H61,IF($AZ$31="p",'Colony Type'!H89,IF($AZ$31="a",'Colony Type'!H117,IF($AZ$31="b",'Colony Type'!H145,IF($AZ$31="c",'Colony Type'!H173,IF($AZ$31="r",'Colony Type'!H201,IF($AZ$31="s",'Colony Type'!H229,IF($AZ$31="f",'Colony Type'!H257,"error")))))))))</f>
        <v>8</v>
      </c>
      <c r="BQ6">
        <f t="shared" si="4"/>
        <v>16000</v>
      </c>
      <c r="BR6" s="81">
        <f>IF($AZ$31="d",'Colony Type'!F33,IF($AZ$31="n",'Colony Type'!F61,IF($AZ$31="p",'Colony Type'!F89,IF($AZ$31="a",'Colony Type'!F117,IF($AZ$31="b",'Colony Type'!F145,IF($AZ$31="c",'Colony Type'!F173,IF($AZ$31="r",'Colony Type'!F201,IF($AZ$31="s",'Colony Type'!F229,IF($AZ$31="f",'Colony Type'!F257,"error")))))))))</f>
        <v>0.33</v>
      </c>
      <c r="BS6" s="17">
        <f t="shared" si="5"/>
        <v>1485</v>
      </c>
      <c r="BT6" s="21">
        <f t="shared" si="6"/>
        <v>9.2812500000000006E-2</v>
      </c>
      <c r="BU6">
        <f t="shared" si="39"/>
        <v>891</v>
      </c>
      <c r="BV6" s="18">
        <f t="shared" si="40"/>
        <v>40.716517047775838</v>
      </c>
      <c r="BW6" s="18">
        <f t="shared" si="7"/>
        <v>74.25</v>
      </c>
      <c r="BX6" s="141">
        <f t="shared" si="41"/>
        <v>16.88586974992559</v>
      </c>
      <c r="BY6" s="27">
        <f t="shared" si="8"/>
        <v>28.88586974992559</v>
      </c>
      <c r="BZ6" s="32">
        <f t="shared" si="9"/>
        <v>0.58457196879000284</v>
      </c>
      <c r="CA6" s="130">
        <f t="shared" si="10"/>
        <v>0.41542803120999716</v>
      </c>
      <c r="CB6" s="28">
        <f t="shared" si="11"/>
        <v>41.676190191400082</v>
      </c>
      <c r="CC6" s="255">
        <f t="shared" si="12"/>
        <v>891</v>
      </c>
      <c r="CD6" s="80">
        <f>IF($AZ$31="d",'Colony Type'!J33,IF($AZ$31="n",'Colony Type'!J61,IF($AZ$31="p",'Colony Type'!J89,IF($AZ$31="a",'Colony Type'!J117,IF($AZ$31="b",'Colony Type'!J145,IF($AZ$31="c",'Colony Type'!J173,IF($AZ$31="r",'Colony Type'!J201,IF($AZ$31="s",'Colony Type'!J201,IF($AZ$31="f",'Colony Type'!J257,"error")))))))))</f>
        <v>0</v>
      </c>
      <c r="CE6" s="106">
        <f t="shared" si="42"/>
        <v>0</v>
      </c>
      <c r="CF6" s="75">
        <f t="shared" si="43"/>
        <v>0</v>
      </c>
      <c r="CG6" s="102">
        <f t="shared" si="44"/>
        <v>0</v>
      </c>
      <c r="CH6" s="72">
        <f t="shared" si="13"/>
        <v>0</v>
      </c>
      <c r="CI6" s="73">
        <f t="shared" si="45"/>
        <v>0</v>
      </c>
      <c r="CJ6" s="356">
        <f t="shared" si="14"/>
        <v>0</v>
      </c>
      <c r="CK6" s="357">
        <f t="shared" si="46"/>
        <v>0</v>
      </c>
      <c r="CL6" s="73">
        <f t="shared" si="15"/>
        <v>31.88586974992559</v>
      </c>
      <c r="CM6" s="355">
        <v>1</v>
      </c>
      <c r="CN6" s="84">
        <f t="shared" si="16"/>
        <v>4.2749999999999995</v>
      </c>
      <c r="CO6" s="78">
        <f t="shared" si="47"/>
        <v>9.8493837450082944E-2</v>
      </c>
      <c r="CP6" s="103">
        <f t="shared" si="48"/>
        <v>0.41542803120999716</v>
      </c>
      <c r="CQ6" s="71">
        <f t="shared" si="49"/>
        <v>891</v>
      </c>
      <c r="CR6" s="71">
        <f t="shared" si="17"/>
        <v>41.676190191400082</v>
      </c>
      <c r="CS6" s="74">
        <f t="shared" si="18"/>
        <v>4.6774624232772261E-2</v>
      </c>
      <c r="CT6" s="353">
        <f t="shared" si="19"/>
        <v>4.569754999750375E-2</v>
      </c>
      <c r="CU6" s="355">
        <f t="shared" si="50"/>
        <v>1.0235472292956185</v>
      </c>
      <c r="CV6" s="76">
        <f t="shared" si="20"/>
        <v>1</v>
      </c>
      <c r="CW6" s="74">
        <f t="shared" si="21"/>
        <v>28.88586974992559</v>
      </c>
      <c r="CX6" s="354">
        <v>1</v>
      </c>
      <c r="CY6" s="83">
        <f t="shared" si="51"/>
        <v>2.2586249999999999</v>
      </c>
      <c r="CZ6" s="79">
        <f t="shared" si="22"/>
        <v>6.518049768398862E-2</v>
      </c>
      <c r="DA6" s="112">
        <f t="shared" si="23"/>
        <v>2.7077805826147171E-2</v>
      </c>
      <c r="DB6" s="55">
        <f t="shared" si="24"/>
        <v>-5.0125418235442863E-3</v>
      </c>
      <c r="DC6" s="133">
        <f t="shared" si="25"/>
        <v>2.2065264002602884E-2</v>
      </c>
      <c r="DD6" s="133"/>
      <c r="DE6" s="377">
        <f>IF(OR($AZ$31="n",$AZ$31="p"),0,DR5)</f>
        <v>100.32108346182575</v>
      </c>
      <c r="DF6" s="240">
        <f t="shared" si="26"/>
        <v>70.224758423278018</v>
      </c>
      <c r="DG6" s="240">
        <f>DF6*(1-EK5)</f>
        <v>70.224758423278018</v>
      </c>
      <c r="DH6" s="148">
        <f t="shared" si="52"/>
        <v>35.782676229362181</v>
      </c>
      <c r="DI6" s="17">
        <f t="shared" si="53"/>
        <v>136.10375969118792</v>
      </c>
      <c r="DJ6" s="266">
        <f t="shared" si="54"/>
        <v>9.9899025724337633</v>
      </c>
      <c r="DK6" s="135">
        <f t="shared" si="27"/>
        <v>126.11385711875415</v>
      </c>
      <c r="DL6" s="244">
        <f>'Mite Immigration'!C14</f>
        <v>0</v>
      </c>
      <c r="DM6" s="137">
        <f t="shared" si="55"/>
        <v>-1.693199481972788</v>
      </c>
      <c r="DN6" s="98">
        <f t="shared" ref="DN6:DN28" si="63">DL6+DM6</f>
        <v>-1.693199481972788</v>
      </c>
      <c r="DO6" s="265">
        <f t="shared" si="28"/>
        <v>124.42065763678137</v>
      </c>
      <c r="DP6" s="392">
        <f>EL$32</f>
        <v>0</v>
      </c>
      <c r="DQ6" s="135">
        <f t="shared" si="56"/>
        <v>0</v>
      </c>
      <c r="DR6" s="95">
        <f t="shared" si="29"/>
        <v>124.42065763678137</v>
      </c>
      <c r="DS6" s="29">
        <f t="shared" si="30"/>
        <v>1.4156209170941484E-2</v>
      </c>
      <c r="DT6" s="271">
        <f t="shared" si="31"/>
        <v>40575</v>
      </c>
      <c r="DU6" s="89">
        <f t="shared" si="32"/>
        <v>58.644893270425669</v>
      </c>
      <c r="DV6" s="29">
        <f t="shared" si="33"/>
        <v>3.6653058294016045E-3</v>
      </c>
      <c r="DW6" s="145">
        <f t="shared" si="34"/>
        <v>1.1545713362615053</v>
      </c>
      <c r="DX6" s="494" t="str">
        <f>IF((BR6&lt;0.25),DX5,IF(DX5=100,100,IF(CT4&gt;$AH$51,100,"")))</f>
        <v/>
      </c>
      <c r="DY6" s="494" t="str">
        <f>IF(DY5=100,100,IF(BS6&lt;100,IF((DW4+DW5)&gt;$AH$52,100,""),""))</f>
        <v/>
      </c>
      <c r="DZ6" s="494"/>
      <c r="EA6">
        <f>SUM(DX6:DZ6)</f>
        <v>0</v>
      </c>
      <c r="EB6" s="17">
        <f t="shared" si="57"/>
        <v>769.921875</v>
      </c>
      <c r="EC6" s="18">
        <f t="shared" si="58"/>
        <v>0</v>
      </c>
      <c r="ED6" s="264">
        <f t="shared" si="59"/>
        <v>769.921875</v>
      </c>
      <c r="EE6" s="264">
        <f t="shared" ref="EE6:EE28" si="64">ED6/$BP$36</f>
        <v>50.625</v>
      </c>
      <c r="EF6" s="104">
        <f t="shared" si="60"/>
        <v>0.6</v>
      </c>
      <c r="EG6" s="263">
        <f t="shared" si="61"/>
        <v>1.693199481972788</v>
      </c>
      <c r="EI6" s="17">
        <f t="shared" si="62"/>
        <v>35.782676229362181</v>
      </c>
      <c r="EJ6" s="163">
        <v>0</v>
      </c>
      <c r="EK6" s="37">
        <f>EK$59</f>
        <v>0</v>
      </c>
      <c r="EO6" s="2">
        <v>40575</v>
      </c>
      <c r="EP6" s="259">
        <v>42948</v>
      </c>
      <c r="EQ6" s="18"/>
      <c r="ER6" s="249"/>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0"/>
      <c r="AE7" s="382"/>
      <c r="AF7" s="397"/>
      <c r="AZ7" s="405">
        <f t="shared" si="35"/>
        <v>40589</v>
      </c>
      <c r="BA7" s="59">
        <f t="shared" si="0"/>
        <v>124.42065763678137</v>
      </c>
      <c r="BB7" s="301">
        <f t="shared" si="36"/>
        <v>1.5990546388849801E-2</v>
      </c>
      <c r="BC7" s="233">
        <f t="shared" si="1"/>
        <v>0</v>
      </c>
      <c r="BD7" s="123">
        <f>IF(EA7&gt;0,"",DW7)</f>
        <v>1.4063098328231911</v>
      </c>
      <c r="BE7" s="4">
        <f t="shared" si="2"/>
        <v>3.0114047688159062E-2</v>
      </c>
      <c r="BF7" s="3">
        <f t="shared" si="3"/>
        <v>0.50234953281672068</v>
      </c>
      <c r="BG7" s="497">
        <v>0.9</v>
      </c>
      <c r="BH7" s="496" t="s">
        <v>1</v>
      </c>
      <c r="BI7" s="496"/>
      <c r="BJ7" s="496"/>
      <c r="BK7" s="496"/>
      <c r="BL7" s="496"/>
      <c r="BN7" s="511"/>
      <c r="BO7" s="271">
        <f t="shared" si="38"/>
        <v>40589</v>
      </c>
      <c r="BP7" s="375">
        <f>IF($AZ$31="d",'Colony Type'!H34,IF($AZ$31="n",'Colony Type'!H62,IF($AZ$31="p",'Colony Type'!H90,IF($AZ$31="a",'Colony Type'!H118,IF($AZ$31="b",'Colony Type'!H146,IF($AZ$31="c",'Colony Type'!H174,IF($AZ$31="r",'Colony Type'!H202,IF($AZ$31="s",'Colony Type'!H230,IF($AZ$31="f",'Colony Type'!H258,"error")))))))))</f>
        <v>7</v>
      </c>
      <c r="BQ7">
        <f t="shared" si="4"/>
        <v>14000</v>
      </c>
      <c r="BR7" s="81">
        <f>IF($AZ$31="d",'Colony Type'!F34,IF($AZ$31="n",'Colony Type'!F62,IF($AZ$31="p",'Colony Type'!F90,IF($AZ$31="a",'Colony Type'!F118,IF($AZ$31="b",'Colony Type'!F146,IF($AZ$31="c",'Colony Type'!F174,IF($AZ$31="r",'Colony Type'!F202,IF($AZ$31="s",'Colony Type'!F230,IF($AZ$31="f",'Colony Type'!F258,"error")))))))))</f>
        <v>0.75</v>
      </c>
      <c r="BS7" s="17">
        <f t="shared" si="5"/>
        <v>3375</v>
      </c>
      <c r="BT7" s="21">
        <f t="shared" si="6"/>
        <v>0.24107142857142858</v>
      </c>
      <c r="BU7">
        <f t="shared" si="39"/>
        <v>2025</v>
      </c>
      <c r="BV7" s="18">
        <f t="shared" si="40"/>
        <v>60.9809465685221</v>
      </c>
      <c r="BW7" s="18">
        <f t="shared" si="7"/>
        <v>168.75</v>
      </c>
      <c r="BX7" s="141">
        <f t="shared" si="41"/>
        <v>12.113310026453828</v>
      </c>
      <c r="BY7" s="27">
        <f t="shared" si="8"/>
        <v>24.113310026453828</v>
      </c>
      <c r="BZ7" s="32">
        <f t="shared" si="9"/>
        <v>0.50234953281672068</v>
      </c>
      <c r="CA7" s="130">
        <f t="shared" si="10"/>
        <v>0.49765046718327932</v>
      </c>
      <c r="CB7" s="28">
        <f t="shared" si="11"/>
        <v>61.917998400195103</v>
      </c>
      <c r="CC7" s="255">
        <f t="shared" si="12"/>
        <v>2025</v>
      </c>
      <c r="CD7" s="80">
        <f>IF($AZ$31="d",'Colony Type'!J34,IF($AZ$31="n",'Colony Type'!J62,IF($AZ$31="p",'Colony Type'!J90,IF($AZ$31="a",'Colony Type'!J118,IF($AZ$31="b",'Colony Type'!J146,IF($AZ$31="c",'Colony Type'!J174,IF($AZ$31="r",'Colony Type'!J202,IF($AZ$31="s",'Colony Type'!J202,IF($AZ$31="f",'Colony Type'!J258,"error")))))))))</f>
        <v>0</v>
      </c>
      <c r="CE7" s="106">
        <f t="shared" si="42"/>
        <v>0</v>
      </c>
      <c r="CF7" s="75">
        <f t="shared" si="43"/>
        <v>0</v>
      </c>
      <c r="CG7" s="102">
        <f t="shared" si="44"/>
        <v>0</v>
      </c>
      <c r="CH7" s="72">
        <f t="shared" si="13"/>
        <v>0</v>
      </c>
      <c r="CI7" s="73">
        <f t="shared" si="45"/>
        <v>0</v>
      </c>
      <c r="CJ7" s="356">
        <f t="shared" si="14"/>
        <v>0</v>
      </c>
      <c r="CK7" s="357">
        <f t="shared" si="46"/>
        <v>0</v>
      </c>
      <c r="CL7" s="73">
        <f t="shared" si="15"/>
        <v>27.113310026453828</v>
      </c>
      <c r="CM7" s="355">
        <v>1</v>
      </c>
      <c r="CN7" s="84">
        <f t="shared" si="16"/>
        <v>4.2749999999999995</v>
      </c>
      <c r="CO7" s="78">
        <f t="shared" si="47"/>
        <v>9.8493837450082944E-2</v>
      </c>
      <c r="CP7" s="103">
        <f t="shared" si="48"/>
        <v>0.49765046718327932</v>
      </c>
      <c r="CQ7" s="71">
        <f t="shared" si="49"/>
        <v>2025</v>
      </c>
      <c r="CR7" s="71">
        <f t="shared" si="17"/>
        <v>61.917998400195103</v>
      </c>
      <c r="CS7" s="74">
        <f t="shared" si="18"/>
        <v>3.057678933342968E-2</v>
      </c>
      <c r="CT7" s="353">
        <f t="shared" si="19"/>
        <v>3.0114047688159062E-2</v>
      </c>
      <c r="CU7" s="355">
        <f t="shared" si="50"/>
        <v>1.0153325888788869</v>
      </c>
      <c r="CV7" s="76">
        <f t="shared" si="20"/>
        <v>1</v>
      </c>
      <c r="CW7" s="74">
        <f t="shared" si="21"/>
        <v>24.113310026453828</v>
      </c>
      <c r="CX7" s="354">
        <v>1</v>
      </c>
      <c r="CY7" s="83">
        <f t="shared" si="51"/>
        <v>2.2586249999999999</v>
      </c>
      <c r="CZ7" s="79">
        <f t="shared" si="22"/>
        <v>6.518049768398862E-2</v>
      </c>
      <c r="DA7" s="112">
        <f t="shared" si="23"/>
        <v>3.2437105123675591E-2</v>
      </c>
      <c r="DB7" s="55">
        <f t="shared" si="24"/>
        <v>-5.0125418235442863E-3</v>
      </c>
      <c r="DC7" s="133">
        <f t="shared" si="25"/>
        <v>2.7424563300131304E-2</v>
      </c>
      <c r="DD7" s="133"/>
      <c r="DE7" s="377">
        <f>IF(OR($AZ$31="n",$AZ$31="p"),0,DR6)</f>
        <v>124.42065763678137</v>
      </c>
      <c r="DF7" s="240">
        <f t="shared" si="26"/>
        <v>87.094460345746953</v>
      </c>
      <c r="DG7" s="240">
        <f>DF7*(1-EK6)</f>
        <v>87.094460345746953</v>
      </c>
      <c r="DH7" s="148">
        <f t="shared" si="52"/>
        <v>55.543202415448647</v>
      </c>
      <c r="DI7" s="17">
        <f t="shared" si="53"/>
        <v>179.96386005223002</v>
      </c>
      <c r="DJ7" s="266">
        <f t="shared" si="54"/>
        <v>13.209197398808385</v>
      </c>
      <c r="DK7" s="135">
        <f t="shared" si="27"/>
        <v>166.75466265342163</v>
      </c>
      <c r="DL7" s="244">
        <f>'Mite Immigration'!C15</f>
        <v>0</v>
      </c>
      <c r="DM7" s="137">
        <f t="shared" si="55"/>
        <v>-8.0797103886216455</v>
      </c>
      <c r="DN7" s="98">
        <f t="shared" si="63"/>
        <v>-8.0797103886216455</v>
      </c>
      <c r="DO7" s="265">
        <f t="shared" si="28"/>
        <v>158.6749522648</v>
      </c>
      <c r="DP7" s="392">
        <f>EM$32</f>
        <v>0</v>
      </c>
      <c r="DQ7" s="135">
        <f t="shared" si="56"/>
        <v>0</v>
      </c>
      <c r="DR7" s="95">
        <f t="shared" si="29"/>
        <v>158.6749522648</v>
      </c>
      <c r="DS7" s="29">
        <f t="shared" si="30"/>
        <v>1.5990546388849801E-2</v>
      </c>
      <c r="DT7" s="271">
        <f t="shared" si="31"/>
        <v>40589</v>
      </c>
      <c r="DU7" s="89">
        <f t="shared" si="32"/>
        <v>62.502659236586268</v>
      </c>
      <c r="DV7" s="29">
        <f t="shared" si="33"/>
        <v>4.4644756597561619E-3</v>
      </c>
      <c r="DW7" s="145">
        <f t="shared" si="34"/>
        <v>1.4063098328231911</v>
      </c>
      <c r="DX7" s="494" t="str">
        <f t="shared" ref="DX7:DX28" si="65">IF((BR7&lt;0.25),DX6,IF(DX6=100,100,IF(CT5&gt;$AH$51,100,"")))</f>
        <v/>
      </c>
      <c r="DY7" s="494" t="str">
        <f t="shared" ref="DY7:DY28" si="66">IF(DY6=100,100,IF(BS7&lt;100,IF((DW5+DW6)&gt;$AH$52,100,""),""))</f>
        <v/>
      </c>
      <c r="DZ7" s="494"/>
      <c r="EA7">
        <f t="shared" ref="EA7:EA28" si="67">SUM(DX7:DZ7)</f>
        <v>0</v>
      </c>
      <c r="EB7" s="17">
        <f t="shared" si="57"/>
        <v>1016.2968750000001</v>
      </c>
      <c r="EC7" s="18">
        <f t="shared" si="58"/>
        <v>-2000</v>
      </c>
      <c r="ED7" s="264">
        <f t="shared" si="59"/>
        <v>3016.296875</v>
      </c>
      <c r="EE7" s="264">
        <f t="shared" si="64"/>
        <v>198.3318493150685</v>
      </c>
      <c r="EF7" s="104">
        <f t="shared" si="60"/>
        <v>0.6</v>
      </c>
      <c r="EG7" s="263">
        <f t="shared" si="61"/>
        <v>8.0797103886216455</v>
      </c>
      <c r="EI7" s="17">
        <f t="shared" si="62"/>
        <v>55.543202415448647</v>
      </c>
      <c r="EJ7" s="163">
        <v>0</v>
      </c>
      <c r="EK7" s="37">
        <f>EL$59</f>
        <v>0</v>
      </c>
      <c r="EO7" s="2">
        <v>40589</v>
      </c>
      <c r="EP7" s="259">
        <v>42962</v>
      </c>
      <c r="EQ7" s="18"/>
      <c r="ER7" s="249"/>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0"/>
      <c r="AE8" s="382"/>
      <c r="AF8" s="397"/>
      <c r="AZ8" s="405">
        <f t="shared" si="35"/>
        <v>40603</v>
      </c>
      <c r="BA8" s="59">
        <f t="shared" si="0"/>
        <v>158.6749522648</v>
      </c>
      <c r="BB8" s="301">
        <f t="shared" si="36"/>
        <v>1.862355532637135E-2</v>
      </c>
      <c r="BC8" s="233">
        <f t="shared" si="1"/>
        <v>0</v>
      </c>
      <c r="BD8" s="123">
        <f t="shared" si="37"/>
        <v>1.6807740031481844</v>
      </c>
      <c r="BE8" s="4">
        <f t="shared" si="2"/>
        <v>3.0622764625714116E-2</v>
      </c>
      <c r="BF8" s="3">
        <f t="shared" si="3"/>
        <v>0.47078045866951518</v>
      </c>
      <c r="BG8" s="498"/>
      <c r="BH8" s="496"/>
      <c r="BI8" s="496"/>
      <c r="BJ8" s="496"/>
      <c r="BK8" s="496"/>
      <c r="BL8" s="496"/>
      <c r="BN8" s="511"/>
      <c r="BO8" s="271">
        <f t="shared" si="38"/>
        <v>40603</v>
      </c>
      <c r="BP8" s="375">
        <f>IF($AZ$31="d",'Colony Type'!H35,IF($AZ$31="n",'Colony Type'!H63,IF($AZ$31="p",'Colony Type'!H91,IF($AZ$31="a",'Colony Type'!H119,IF($AZ$31="b",'Colony Type'!H147,IF($AZ$31="c",'Colony Type'!H175,IF($AZ$31="r",'Colony Type'!H203,IF($AZ$31="s",'Colony Type'!H231,IF($AZ$31="f",'Colony Type'!H259,"error")))))))))</f>
        <v>7</v>
      </c>
      <c r="BQ8">
        <f t="shared" si="4"/>
        <v>14000</v>
      </c>
      <c r="BR8" s="81">
        <f>IF($AZ$31="d",'Colony Type'!F35,IF($AZ$31="n",'Colony Type'!F63,IF($AZ$31="p",'Colony Type'!F91,IF($AZ$31="a",'Colony Type'!F119,IF($AZ$31="b",'Colony Type'!F147,IF($AZ$31="c",'Colony Type'!F175,IF($AZ$31="r",'Colony Type'!F203,IF($AZ$31="s",'Colony Type'!F231,IF($AZ$31="f",'Colony Type'!F259,"error")))))))))</f>
        <v>1</v>
      </c>
      <c r="BS8" s="17">
        <f t="shared" si="5"/>
        <v>4500</v>
      </c>
      <c r="BT8" s="21">
        <f t="shared" si="6"/>
        <v>0.32142857142857145</v>
      </c>
      <c r="BU8">
        <f t="shared" si="39"/>
        <v>2700</v>
      </c>
      <c r="BV8" s="18">
        <f t="shared" si="40"/>
        <v>82.681464489428109</v>
      </c>
      <c r="BW8" s="18">
        <f t="shared" si="7"/>
        <v>225</v>
      </c>
      <c r="BX8" s="141">
        <f t="shared" si="41"/>
        <v>10.674899664194921</v>
      </c>
      <c r="BY8" s="27">
        <f t="shared" si="8"/>
        <v>22.674899664194921</v>
      </c>
      <c r="BZ8" s="32">
        <f t="shared" si="9"/>
        <v>0.47078045866951518</v>
      </c>
      <c r="CA8" s="130">
        <f t="shared" si="10"/>
        <v>0.52921954133048477</v>
      </c>
      <c r="CB8" s="28">
        <f t="shared" si="11"/>
        <v>83.973885458214014</v>
      </c>
      <c r="CC8" s="255">
        <f t="shared" si="12"/>
        <v>2700</v>
      </c>
      <c r="CD8" s="80">
        <f>IF($AZ$31="d",'Colony Type'!J35,IF($AZ$31="n",'Colony Type'!J63,IF($AZ$31="p",'Colony Type'!J91,IF($AZ$31="a",'Colony Type'!J119,IF($AZ$31="b",'Colony Type'!J147,IF($AZ$31="c",'Colony Type'!J175,IF($AZ$31="r",'Colony Type'!J203,IF($AZ$31="s",'Colony Type'!J203,IF($AZ$31="f",'Colony Type'!J259,"error")))))))))</f>
        <v>0</v>
      </c>
      <c r="CE8" s="106">
        <f t="shared" si="42"/>
        <v>0</v>
      </c>
      <c r="CF8" s="75">
        <f t="shared" si="43"/>
        <v>0</v>
      </c>
      <c r="CG8" s="102">
        <f t="shared" si="44"/>
        <v>0</v>
      </c>
      <c r="CH8" s="72">
        <f t="shared" si="13"/>
        <v>0</v>
      </c>
      <c r="CI8" s="73">
        <f t="shared" si="45"/>
        <v>0</v>
      </c>
      <c r="CJ8" s="356">
        <f t="shared" si="14"/>
        <v>0</v>
      </c>
      <c r="CK8" s="357">
        <f t="shared" si="46"/>
        <v>0</v>
      </c>
      <c r="CL8" s="73">
        <f t="shared" si="15"/>
        <v>25.674899664194921</v>
      </c>
      <c r="CM8" s="355">
        <v>1</v>
      </c>
      <c r="CN8" s="84">
        <f t="shared" si="16"/>
        <v>4.2749999999999995</v>
      </c>
      <c r="CO8" s="78">
        <f t="shared" si="47"/>
        <v>9.8493837450082944E-2</v>
      </c>
      <c r="CP8" s="103">
        <f t="shared" si="48"/>
        <v>0.52921954133048477</v>
      </c>
      <c r="CQ8" s="71">
        <f t="shared" si="49"/>
        <v>2700</v>
      </c>
      <c r="CR8" s="71">
        <f t="shared" si="17"/>
        <v>83.973885458214014</v>
      </c>
      <c r="CS8" s="74">
        <f t="shared" si="18"/>
        <v>3.1101439058597784E-2</v>
      </c>
      <c r="CT8" s="353">
        <f t="shared" si="19"/>
        <v>3.0622764625714116E-2</v>
      </c>
      <c r="CU8" s="355">
        <f t="shared" si="50"/>
        <v>1.0155981617127039</v>
      </c>
      <c r="CV8" s="76">
        <f t="shared" si="20"/>
        <v>1</v>
      </c>
      <c r="CW8" s="74">
        <f t="shared" si="21"/>
        <v>22.674899664194921</v>
      </c>
      <c r="CX8" s="354">
        <v>1</v>
      </c>
      <c r="CY8" s="83">
        <f t="shared" si="51"/>
        <v>2.2586249999999999</v>
      </c>
      <c r="CZ8" s="79">
        <f t="shared" si="22"/>
        <v>6.518049768398862E-2</v>
      </c>
      <c r="DA8" s="112">
        <f t="shared" si="23"/>
        <v>3.4494793088013183E-2</v>
      </c>
      <c r="DB8" s="55">
        <f t="shared" si="24"/>
        <v>-5.0125418235442863E-3</v>
      </c>
      <c r="DC8" s="133">
        <f t="shared" si="25"/>
        <v>2.9482251264468896E-2</v>
      </c>
      <c r="DD8" s="133"/>
      <c r="DE8" s="377">
        <f>IF(OR($AZ$31="n",$AZ$31="p"),0,DR7)</f>
        <v>158.6749522648</v>
      </c>
      <c r="DF8" s="240">
        <f t="shared" si="26"/>
        <v>111.07246658535999</v>
      </c>
      <c r="DG8" s="240">
        <f>DF8*(1-EK7)</f>
        <v>111.07246658535999</v>
      </c>
      <c r="DH8" s="148">
        <f t="shared" si="52"/>
        <v>76.617436997591824</v>
      </c>
      <c r="DI8" s="17">
        <f t="shared" si="53"/>
        <v>235.29238926239182</v>
      </c>
      <c r="DJ8" s="266">
        <f t="shared" si="54"/>
        <v>17.27026534828812</v>
      </c>
      <c r="DK8" s="135">
        <f t="shared" si="27"/>
        <v>218.0221239141037</v>
      </c>
      <c r="DL8" s="244">
        <f>'Mite Immigration'!C16</f>
        <v>0</v>
      </c>
      <c r="DM8" s="137">
        <f t="shared" si="55"/>
        <v>-7.3946552683148914</v>
      </c>
      <c r="DN8" s="98">
        <f t="shared" si="63"/>
        <v>-7.3946552683148914</v>
      </c>
      <c r="DO8" s="265">
        <f t="shared" si="28"/>
        <v>210.62746864578881</v>
      </c>
      <c r="DP8" s="392">
        <f>EN$32</f>
        <v>0</v>
      </c>
      <c r="DQ8" s="135">
        <f t="shared" si="56"/>
        <v>0</v>
      </c>
      <c r="DR8" s="95">
        <f t="shared" si="29"/>
        <v>210.62746864578881</v>
      </c>
      <c r="DS8" s="29">
        <f t="shared" si="30"/>
        <v>1.862355532637135E-2</v>
      </c>
      <c r="DT8" s="271">
        <f t="shared" si="31"/>
        <v>40603</v>
      </c>
      <c r="DU8" s="89">
        <f t="shared" si="32"/>
        <v>74.70106680658597</v>
      </c>
      <c r="DV8" s="29">
        <f t="shared" si="33"/>
        <v>5.3357904861847123E-3</v>
      </c>
      <c r="DW8" s="145">
        <f t="shared" si="34"/>
        <v>1.6807740031481844</v>
      </c>
      <c r="DX8" s="494" t="str">
        <f t="shared" si="65"/>
        <v/>
      </c>
      <c r="DY8" s="494" t="str">
        <f t="shared" si="66"/>
        <v/>
      </c>
      <c r="DZ8" s="494"/>
      <c r="EA8">
        <f t="shared" si="67"/>
        <v>0</v>
      </c>
      <c r="EB8" s="17">
        <f t="shared" si="57"/>
        <v>2309.765625</v>
      </c>
      <c r="EC8" s="18">
        <f t="shared" si="58"/>
        <v>0</v>
      </c>
      <c r="ED8" s="264">
        <f t="shared" si="59"/>
        <v>2309.765625</v>
      </c>
      <c r="EE8" s="264">
        <f t="shared" si="64"/>
        <v>151.875</v>
      </c>
      <c r="EF8" s="104">
        <f t="shared" si="60"/>
        <v>0.6</v>
      </c>
      <c r="EG8" s="263">
        <f t="shared" si="61"/>
        <v>7.3946552683148914</v>
      </c>
      <c r="EI8" s="17">
        <f t="shared" si="62"/>
        <v>76.617436997591824</v>
      </c>
      <c r="EJ8" s="163">
        <v>0</v>
      </c>
      <c r="EK8" s="37">
        <f>EM$59</f>
        <v>0</v>
      </c>
      <c r="EO8" s="2">
        <v>40603</v>
      </c>
      <c r="EP8" s="259">
        <v>42979</v>
      </c>
      <c r="ER8" s="249"/>
    </row>
    <row r="9" spans="1:168" ht="12.75" customHeight="1" x14ac:dyDescent="0.3">
      <c r="A9" s="54"/>
      <c r="B9" s="400"/>
      <c r="AE9" s="382"/>
      <c r="AF9" s="397"/>
      <c r="AZ9" s="405">
        <f t="shared" si="35"/>
        <v>40617</v>
      </c>
      <c r="BA9" s="59">
        <f t="shared" si="0"/>
        <v>210.62746864578881</v>
      </c>
      <c r="BB9" s="301">
        <f t="shared" si="36"/>
        <v>2.3321869250677113E-2</v>
      </c>
      <c r="BC9" s="233">
        <f t="shared" si="1"/>
        <v>0</v>
      </c>
      <c r="BD9" s="123">
        <f t="shared" si="37"/>
        <v>1.9306319695748368</v>
      </c>
      <c r="BE9" s="4">
        <f t="shared" si="2"/>
        <v>2.5065615468121138E-2</v>
      </c>
      <c r="BF9" s="3">
        <f t="shared" si="3"/>
        <v>0.34918467675703302</v>
      </c>
      <c r="BG9" s="497">
        <v>0.9</v>
      </c>
      <c r="BH9" s="513" t="s">
        <v>310</v>
      </c>
      <c r="BI9" s="514"/>
      <c r="BJ9" s="514"/>
      <c r="BK9" s="514"/>
      <c r="BL9" s="515"/>
      <c r="BN9" s="511"/>
      <c r="BO9" s="271">
        <f t="shared" si="38"/>
        <v>40617</v>
      </c>
      <c r="BP9" s="375">
        <f>IF($AZ$31="d",'Colony Type'!H36,IF($AZ$31="n",'Colony Type'!H64,IF($AZ$31="p",'Colony Type'!H92,IF($AZ$31="a",'Colony Type'!H120,IF($AZ$31="b",'Colony Type'!H148,IF($AZ$31="c",'Colony Type'!H176,IF($AZ$31="r",'Colony Type'!H204,IF($AZ$31="s",'Colony Type'!H232,IF($AZ$31="f",'Colony Type'!H260,"error")))))))))</f>
        <v>6</v>
      </c>
      <c r="BQ9">
        <f t="shared" si="4"/>
        <v>12000</v>
      </c>
      <c r="BR9" s="81">
        <f>IF($AZ$31="d",'Colony Type'!F36,IF($AZ$31="n",'Colony Type'!F64,IF($AZ$31="p",'Colony Type'!F92,IF($AZ$31="a",'Colony Type'!F120,IF($AZ$31="b",'Colony Type'!F148,IF($AZ$31="c",'Colony Type'!F176,IF($AZ$31="r",'Colony Type'!F204,IF($AZ$31="s",'Colony Type'!F232,IF($AZ$31="f",'Colony Type'!F260,"error")))))))))</f>
        <v>2</v>
      </c>
      <c r="BS9" s="17">
        <f t="shared" si="5"/>
        <v>9000</v>
      </c>
      <c r="BT9" s="21">
        <f t="shared" si="6"/>
        <v>0.75</v>
      </c>
      <c r="BU9">
        <f t="shared" si="39"/>
        <v>5400</v>
      </c>
      <c r="BV9" s="18">
        <f t="shared" si="40"/>
        <v>135.35432352785415</v>
      </c>
      <c r="BW9" s="18">
        <f t="shared" si="7"/>
        <v>450</v>
      </c>
      <c r="BX9" s="141">
        <f t="shared" si="41"/>
        <v>6.4384103622589048</v>
      </c>
      <c r="BY9" s="27">
        <f t="shared" si="8"/>
        <v>18.438410362258907</v>
      </c>
      <c r="BZ9" s="32">
        <f t="shared" si="9"/>
        <v>0.34918467675703302</v>
      </c>
      <c r="CA9" s="130">
        <f t="shared" si="10"/>
        <v>0.65081532324296698</v>
      </c>
      <c r="CB9" s="28">
        <f t="shared" si="11"/>
        <v>137.07958409055695</v>
      </c>
      <c r="CC9" s="255">
        <f t="shared" si="12"/>
        <v>5400</v>
      </c>
      <c r="CD9" s="80">
        <f>IF($AZ$31="d",'Colony Type'!J36,IF($AZ$31="n",'Colony Type'!J64,IF($AZ$31="p",'Colony Type'!J92,IF($AZ$31="a",'Colony Type'!J120,IF($AZ$31="b",'Colony Type'!J148,IF($AZ$31="c",'Colony Type'!J176,IF($AZ$31="r",'Colony Type'!J204,IF($AZ$31="s",'Colony Type'!J204,IF($AZ$31="f",'Colony Type'!J260,"error")))))))))</f>
        <v>0</v>
      </c>
      <c r="CE9" s="106">
        <f t="shared" si="42"/>
        <v>0</v>
      </c>
      <c r="CF9" s="75">
        <f t="shared" si="43"/>
        <v>0</v>
      </c>
      <c r="CG9" s="102">
        <f t="shared" si="44"/>
        <v>0</v>
      </c>
      <c r="CH9" s="72">
        <f t="shared" si="13"/>
        <v>0</v>
      </c>
      <c r="CI9" s="73">
        <f t="shared" si="45"/>
        <v>0</v>
      </c>
      <c r="CJ9" s="356">
        <f t="shared" si="14"/>
        <v>0</v>
      </c>
      <c r="CK9" s="357">
        <f t="shared" si="46"/>
        <v>0</v>
      </c>
      <c r="CL9" s="73">
        <f t="shared" si="15"/>
        <v>21.438410362258907</v>
      </c>
      <c r="CM9" s="355">
        <v>1</v>
      </c>
      <c r="CN9" s="84">
        <f t="shared" si="16"/>
        <v>4.2749999999999995</v>
      </c>
      <c r="CO9" s="78">
        <f t="shared" si="47"/>
        <v>9.8493837450082944E-2</v>
      </c>
      <c r="CP9" s="103">
        <f t="shared" si="48"/>
        <v>0.65081532324296698</v>
      </c>
      <c r="CQ9" s="71">
        <f t="shared" si="49"/>
        <v>5400</v>
      </c>
      <c r="CR9" s="71">
        <f t="shared" si="17"/>
        <v>137.07958409055695</v>
      </c>
      <c r="CS9" s="74">
        <f t="shared" si="18"/>
        <v>2.5385108164917954E-2</v>
      </c>
      <c r="CT9" s="353">
        <f t="shared" si="19"/>
        <v>2.5065615468121138E-2</v>
      </c>
      <c r="CU9" s="355">
        <f t="shared" si="50"/>
        <v>1.0127058516217262</v>
      </c>
      <c r="CV9" s="76">
        <f t="shared" si="20"/>
        <v>1</v>
      </c>
      <c r="CW9" s="74">
        <f t="shared" si="21"/>
        <v>18.438410362258907</v>
      </c>
      <c r="CX9" s="354">
        <v>1</v>
      </c>
      <c r="CY9" s="83">
        <f t="shared" si="51"/>
        <v>2.2586249999999999</v>
      </c>
      <c r="CZ9" s="79">
        <f t="shared" si="22"/>
        <v>6.518049768398862E-2</v>
      </c>
      <c r="DA9" s="112">
        <f t="shared" si="23"/>
        <v>4.2420466669342516E-2</v>
      </c>
      <c r="DB9" s="55">
        <f t="shared" si="24"/>
        <v>-5.0125418235442863E-3</v>
      </c>
      <c r="DC9" s="133">
        <f t="shared" si="25"/>
        <v>3.7407924845798232E-2</v>
      </c>
      <c r="DD9" s="133"/>
      <c r="DE9" s="377">
        <f>IF(OR($AZ$31="n",$AZ$31="p"),0,DR8)</f>
        <v>210.62746864578881</v>
      </c>
      <c r="DF9" s="240">
        <f t="shared" si="26"/>
        <v>147.43922805205216</v>
      </c>
      <c r="DG9" s="240">
        <f>DF9*(1-EK8)</f>
        <v>147.43922805205216</v>
      </c>
      <c r="DH9" s="148">
        <f t="shared" si="52"/>
        <v>133.61866548506168</v>
      </c>
      <c r="DI9" s="17">
        <f t="shared" si="53"/>
        <v>344.24613413085046</v>
      </c>
      <c r="DJ9" s="266">
        <f t="shared" si="54"/>
        <v>25.267379451581917</v>
      </c>
      <c r="DK9" s="135">
        <f t="shared" si="27"/>
        <v>318.97875467926855</v>
      </c>
      <c r="DL9" s="244">
        <f>'Mite Immigration'!C17</f>
        <v>0</v>
      </c>
      <c r="DM9" s="137">
        <f t="shared" si="55"/>
        <v>-18.680013491332723</v>
      </c>
      <c r="DN9" s="98">
        <f t="shared" si="63"/>
        <v>-18.680013491332723</v>
      </c>
      <c r="DO9" s="265">
        <f t="shared" si="28"/>
        <v>300.29874118793583</v>
      </c>
      <c r="DP9" s="392">
        <f>EO$32</f>
        <v>0</v>
      </c>
      <c r="DQ9" s="135">
        <f t="shared" si="56"/>
        <v>0</v>
      </c>
      <c r="DR9" s="95">
        <f t="shared" si="29"/>
        <v>300.29874118793583</v>
      </c>
      <c r="DS9" s="29">
        <f t="shared" si="30"/>
        <v>2.3321869250677113E-2</v>
      </c>
      <c r="DT9" s="271">
        <f t="shared" si="31"/>
        <v>40617</v>
      </c>
      <c r="DU9" s="89">
        <f t="shared" si="32"/>
        <v>73.547884555231875</v>
      </c>
      <c r="DV9" s="29">
        <f t="shared" si="33"/>
        <v>6.1289903796026566E-3</v>
      </c>
      <c r="DW9" s="145">
        <f t="shared" si="34"/>
        <v>1.9306319695748368</v>
      </c>
      <c r="DX9" s="494" t="str">
        <f t="shared" si="65"/>
        <v/>
      </c>
      <c r="DY9" s="494" t="str">
        <f t="shared" si="66"/>
        <v/>
      </c>
      <c r="DZ9" s="494"/>
      <c r="EA9">
        <f t="shared" si="67"/>
        <v>0</v>
      </c>
      <c r="EB9" s="17">
        <f t="shared" si="57"/>
        <v>3079.6875</v>
      </c>
      <c r="EC9" s="18">
        <f t="shared" si="58"/>
        <v>-2000</v>
      </c>
      <c r="ED9" s="264">
        <f t="shared" si="59"/>
        <v>5079.6875</v>
      </c>
      <c r="EE9" s="264">
        <f t="shared" si="64"/>
        <v>334.00684931506851</v>
      </c>
      <c r="EF9" s="104">
        <f t="shared" si="60"/>
        <v>0.6</v>
      </c>
      <c r="EG9" s="263">
        <f t="shared" si="61"/>
        <v>18.680013491332723</v>
      </c>
      <c r="EI9" s="17">
        <f t="shared" si="62"/>
        <v>133.61866548506168</v>
      </c>
      <c r="EJ9" s="164">
        <f>EO$57</f>
        <v>68.664309318720015</v>
      </c>
      <c r="EK9" s="37">
        <f>EN$59</f>
        <v>0</v>
      </c>
      <c r="EO9" s="2">
        <v>40617</v>
      </c>
      <c r="EP9" s="259">
        <v>42993</v>
      </c>
      <c r="ER9" s="249"/>
      <c r="ES9">
        <v>10.08</v>
      </c>
    </row>
    <row r="10" spans="1:168" ht="13" x14ac:dyDescent="0.3">
      <c r="A10" s="54"/>
      <c r="B10" s="400"/>
      <c r="AE10" s="382"/>
      <c r="AF10" s="397"/>
      <c r="AZ10" s="405">
        <f t="shared" si="35"/>
        <v>40634</v>
      </c>
      <c r="BA10" s="59">
        <f t="shared" si="0"/>
        <v>300.29874118793583</v>
      </c>
      <c r="BB10" s="301">
        <f t="shared" si="36"/>
        <v>-0.12121351523195734</v>
      </c>
      <c r="BC10" s="233">
        <f t="shared" si="1"/>
        <v>0</v>
      </c>
      <c r="BD10" s="123">
        <f t="shared" si="37"/>
        <v>2.1188047519507256</v>
      </c>
      <c r="BE10" s="4">
        <f t="shared" si="2"/>
        <v>2.4676640390052573E-2</v>
      </c>
      <c r="BF10" s="3">
        <f t="shared" si="3"/>
        <v>0.26878691260437249</v>
      </c>
      <c r="BG10" s="498"/>
      <c r="BH10" s="516"/>
      <c r="BI10" s="517"/>
      <c r="BJ10" s="517"/>
      <c r="BK10" s="517"/>
      <c r="BL10" s="518"/>
      <c r="BN10" s="511"/>
      <c r="BO10" s="271">
        <f t="shared" si="38"/>
        <v>40634</v>
      </c>
      <c r="BP10" s="375">
        <f>IF($AZ$31="d",'Colony Type'!H37,IF($AZ$31="n",'Colony Type'!H65,IF($AZ$31="p",'Colony Type'!H93,IF($AZ$31="a",'Colony Type'!H121,IF($AZ$31="b",'Colony Type'!H149,IF($AZ$31="c",'Colony Type'!H177,IF($AZ$31="r",'Colony Type'!H205,IF($AZ$31="s",'Colony Type'!H233,IF($AZ$31="f",'Colony Type'!H261,"error")))))))))</f>
        <v>6</v>
      </c>
      <c r="BQ10">
        <f t="shared" si="4"/>
        <v>12000</v>
      </c>
      <c r="BR10" s="81">
        <f>IF($AZ$31="d",'Colony Type'!F37,IF($AZ$31="n",'Colony Type'!F65,IF($AZ$31="p",'Colony Type'!F93,IF($AZ$31="a",'Colony Type'!F121,IF($AZ$31="b",'Colony Type'!F149,IF($AZ$31="c",'Colony Type'!F177,IF($AZ$31="r",'Colony Type'!F205,IF($AZ$31="s",'Colony Type'!F233,IF($AZ$31="f",'Colony Type'!F261,"error")))))))))</f>
        <v>3</v>
      </c>
      <c r="BS10" s="17">
        <f t="shared" si="5"/>
        <v>13500</v>
      </c>
      <c r="BT10" s="21">
        <f t="shared" si="6"/>
        <v>1.125</v>
      </c>
      <c r="BU10">
        <f t="shared" si="39"/>
        <v>8100</v>
      </c>
      <c r="BV10" s="18">
        <f t="shared" si="40"/>
        <v>199.88078715942584</v>
      </c>
      <c r="BW10" s="18">
        <f t="shared" si="7"/>
        <v>675</v>
      </c>
      <c r="BX10" s="141">
        <f t="shared" si="41"/>
        <v>4.4110848217180827</v>
      </c>
      <c r="BY10" s="27">
        <f t="shared" si="8"/>
        <v>16.411084821718084</v>
      </c>
      <c r="BZ10" s="32">
        <f t="shared" si="9"/>
        <v>0.26878691260437249</v>
      </c>
      <c r="CA10" s="130">
        <f t="shared" si="10"/>
        <v>0.73121308739562751</v>
      </c>
      <c r="CB10" s="28">
        <f t="shared" si="11"/>
        <v>219.58236968505105</v>
      </c>
      <c r="CC10" s="255">
        <f t="shared" si="12"/>
        <v>8100</v>
      </c>
      <c r="CD10" s="80">
        <f>IF($AZ$31="d",'Colony Type'!J37,IF($AZ$31="n",'Colony Type'!J65,IF($AZ$31="p",'Colony Type'!J93,IF($AZ$31="a",'Colony Type'!J121,IF($AZ$31="b",'Colony Type'!J149,IF($AZ$31="c",'Colony Type'!J177,IF($AZ$31="r",'Colony Type'!J205,IF($AZ$31="s",'Colony Type'!J205,IF($AZ$31="f",'Colony Type'!J261,"error")))))))))</f>
        <v>0.03</v>
      </c>
      <c r="CE10" s="106">
        <f t="shared" si="42"/>
        <v>1.9199999999999998E-2</v>
      </c>
      <c r="CF10" s="75">
        <f t="shared" si="43"/>
        <v>9.5999999999999988E-2</v>
      </c>
      <c r="CG10" s="102">
        <f t="shared" si="44"/>
        <v>7.0196456389980233E-2</v>
      </c>
      <c r="CH10" s="72">
        <f t="shared" si="13"/>
        <v>21.079907489764899</v>
      </c>
      <c r="CI10" s="73">
        <f t="shared" si="45"/>
        <v>0.13554467264509323</v>
      </c>
      <c r="CJ10" s="356">
        <f t="shared" si="14"/>
        <v>0.12675984789026884</v>
      </c>
      <c r="CK10" s="357">
        <f t="shared" si="46"/>
        <v>1.0693028975739154</v>
      </c>
      <c r="CL10" s="73">
        <f t="shared" si="15"/>
        <v>19.411084821718084</v>
      </c>
      <c r="CM10" s="355">
        <v>1</v>
      </c>
      <c r="CN10" s="84">
        <f t="shared" si="16"/>
        <v>4.2749999999999995</v>
      </c>
      <c r="CO10" s="78">
        <f t="shared" si="47"/>
        <v>9.8493837450082944E-2</v>
      </c>
      <c r="CP10" s="103">
        <f t="shared" si="48"/>
        <v>0.66101663100564734</v>
      </c>
      <c r="CQ10" s="71">
        <f t="shared" si="49"/>
        <v>7944.4800000000005</v>
      </c>
      <c r="CR10" s="71">
        <f t="shared" si="17"/>
        <v>198.50246219528614</v>
      </c>
      <c r="CS10" s="74">
        <f t="shared" si="18"/>
        <v>2.4986212086289615E-2</v>
      </c>
      <c r="CT10" s="353">
        <f t="shared" si="19"/>
        <v>2.4676640390052573E-2</v>
      </c>
      <c r="CU10" s="355">
        <f t="shared" si="50"/>
        <v>1.0125041005282427</v>
      </c>
      <c r="CV10" s="76">
        <f t="shared" si="20"/>
        <v>0.90400000000000003</v>
      </c>
      <c r="CW10" s="74">
        <f t="shared" si="21"/>
        <v>16.411084821718084</v>
      </c>
      <c r="CX10" s="354">
        <v>1</v>
      </c>
      <c r="CY10" s="83">
        <f t="shared" si="51"/>
        <v>2.2586249999999999</v>
      </c>
      <c r="CZ10" s="79">
        <f t="shared" si="22"/>
        <v>6.518049768398862E-2</v>
      </c>
      <c r="DA10" s="112">
        <f t="shared" si="23"/>
        <v>4.9999311351588104E-2</v>
      </c>
      <c r="DB10" s="55">
        <f t="shared" si="24"/>
        <v>-5.0125418235442863E-3</v>
      </c>
      <c r="DC10" s="133">
        <f t="shared" si="25"/>
        <v>4.498676952804382E-2</v>
      </c>
      <c r="DD10" s="133"/>
      <c r="DE10" s="378">
        <f>IF(OR($AZ$31="n",$AZ$31="p"),AZ32,DR9)</f>
        <v>300.29874118793583</v>
      </c>
      <c r="DF10" s="240">
        <f t="shared" si="26"/>
        <v>210.20911883155506</v>
      </c>
      <c r="DG10" s="378">
        <f>IF(OR($AZ$31="n",$AZ$31="p"),(DF10*(1-0.5)),(DF10*(1-EK9)))</f>
        <v>210.20911883155506</v>
      </c>
      <c r="DH10" s="148">
        <f t="shared" si="52"/>
        <v>239.45865632138995</v>
      </c>
      <c r="DI10" s="17">
        <f t="shared" si="53"/>
        <v>539.75739750932576</v>
      </c>
      <c r="DJ10" s="266">
        <f t="shared" si="54"/>
        <v>39.617743301897065</v>
      </c>
      <c r="DK10" s="135">
        <f t="shared" si="27"/>
        <v>500.13965420742869</v>
      </c>
      <c r="DL10" s="244">
        <f>'Mite Immigration'!C18</f>
        <v>0</v>
      </c>
      <c r="DM10" s="137">
        <f t="shared" si="55"/>
        <v>-24.85812003627905</v>
      </c>
      <c r="DN10" s="98">
        <f t="shared" si="63"/>
        <v>-24.85812003627905</v>
      </c>
      <c r="DO10" s="265">
        <f t="shared" si="28"/>
        <v>475.28153417114964</v>
      </c>
      <c r="DP10" s="392">
        <f>EP$32</f>
        <v>0.9</v>
      </c>
      <c r="DQ10" s="135">
        <f t="shared" si="56"/>
        <v>427.75338075403471</v>
      </c>
      <c r="DR10" s="95">
        <f t="shared" si="29"/>
        <v>47.528153417114936</v>
      </c>
      <c r="DS10" s="29">
        <f t="shared" si="30"/>
        <v>-0.12121351523195734</v>
      </c>
      <c r="DT10" s="271">
        <f t="shared" si="31"/>
        <v>40634</v>
      </c>
      <c r="DU10" s="89">
        <f t="shared" si="32"/>
        <v>80.716371502884783</v>
      </c>
      <c r="DV10" s="29">
        <f t="shared" si="33"/>
        <v>6.7263642919070657E-3</v>
      </c>
      <c r="DW10" s="145">
        <f t="shared" si="34"/>
        <v>2.1188047519507256</v>
      </c>
      <c r="DX10" s="494" t="str">
        <f t="shared" si="65"/>
        <v/>
      </c>
      <c r="DY10" s="494" t="str">
        <f t="shared" si="66"/>
        <v/>
      </c>
      <c r="DZ10" s="494"/>
      <c r="EA10">
        <f t="shared" si="67"/>
        <v>0</v>
      </c>
      <c r="EB10" s="17">
        <f t="shared" si="57"/>
        <v>6159.375</v>
      </c>
      <c r="EC10" s="18">
        <f t="shared" si="58"/>
        <v>0</v>
      </c>
      <c r="ED10" s="264">
        <f t="shared" si="59"/>
        <v>6159.375</v>
      </c>
      <c r="EE10" s="264">
        <f t="shared" si="64"/>
        <v>405</v>
      </c>
      <c r="EF10" s="104">
        <f t="shared" si="60"/>
        <v>0.6</v>
      </c>
      <c r="EG10" s="263">
        <f t="shared" si="61"/>
        <v>24.85812003627905</v>
      </c>
      <c r="EI10" s="17">
        <f t="shared" si="62"/>
        <v>239.45865632138995</v>
      </c>
      <c r="EJ10" s="164">
        <f>EP$57</f>
        <v>74.408914049046359</v>
      </c>
      <c r="EK10" s="379">
        <f>IF(OR($AZ$31="n",$AZ$31="p"),0.15,EO59)</f>
        <v>0.19007351772533218</v>
      </c>
      <c r="EO10" s="2">
        <v>40634</v>
      </c>
      <c r="EP10" s="259">
        <v>43009</v>
      </c>
      <c r="ER10" s="249"/>
    </row>
    <row r="11" spans="1:168" ht="12.75" customHeight="1" x14ac:dyDescent="0.3">
      <c r="A11" s="54"/>
      <c r="B11" s="400"/>
      <c r="AE11" s="382"/>
      <c r="AF11" s="397"/>
      <c r="AZ11" s="405">
        <f t="shared" si="35"/>
        <v>40648</v>
      </c>
      <c r="BA11" s="59">
        <f t="shared" si="0"/>
        <v>47.528153417114936</v>
      </c>
      <c r="BB11" s="301">
        <f t="shared" si="36"/>
        <v>3.0616145686081425E-2</v>
      </c>
      <c r="BC11" s="233">
        <f t="shared" si="1"/>
        <v>0</v>
      </c>
      <c r="BD11" s="123">
        <f t="shared" si="37"/>
        <v>0.20159762222785849</v>
      </c>
      <c r="BE11" s="4">
        <f t="shared" si="2"/>
        <v>2.3182034225432968E-3</v>
      </c>
      <c r="BF11" s="3">
        <f t="shared" si="3"/>
        <v>0.21544870751458203</v>
      </c>
      <c r="BG11" s="497">
        <v>0.5</v>
      </c>
      <c r="BH11" s="496" t="s">
        <v>311</v>
      </c>
      <c r="BI11" s="496"/>
      <c r="BJ11" s="496"/>
      <c r="BK11" s="496"/>
      <c r="BL11" s="496"/>
      <c r="BN11" s="511"/>
      <c r="BO11" s="271">
        <f t="shared" si="38"/>
        <v>40648</v>
      </c>
      <c r="BP11" s="375">
        <f>IF($AZ$31="d",'Colony Type'!H38,IF($AZ$31="n",'Colony Type'!H66,IF($AZ$31="p",'Colony Type'!H94,IF($AZ$31="a",'Colony Type'!H122,IF($AZ$31="b",'Colony Type'!H150,IF($AZ$31="c",'Colony Type'!H178,IF($AZ$31="r",'Colony Type'!H206,IF($AZ$31="s",'Colony Type'!H234,IF($AZ$31="f",'Colony Type'!H262,"error")))))))))</f>
        <v>8</v>
      </c>
      <c r="BQ11">
        <f t="shared" si="4"/>
        <v>16000</v>
      </c>
      <c r="BR11" s="81">
        <f>IF($AZ$31="d",'Colony Type'!F38,IF($AZ$31="n",'Colony Type'!F66,IF($AZ$31="p",'Colony Type'!F94,IF($AZ$31="a",'Colony Type'!F122,IF($AZ$31="b",'Colony Type'!F150,IF($AZ$31="c",'Colony Type'!F178,IF($AZ$31="r",'Colony Type'!F206,IF($AZ$31="s",'Colony Type'!F234,IF($AZ$31="f",'Colony Type'!F262,"error")))))))))</f>
        <v>5</v>
      </c>
      <c r="BS11" s="17">
        <f t="shared" si="5"/>
        <v>22500</v>
      </c>
      <c r="BT11" s="21">
        <f t="shared" si="6"/>
        <v>1.40625</v>
      </c>
      <c r="BU11">
        <f t="shared" si="39"/>
        <v>13500</v>
      </c>
      <c r="BV11" s="18">
        <f t="shared" si="40"/>
        <v>31.295746204334506</v>
      </c>
      <c r="BW11" s="18">
        <f t="shared" si="7"/>
        <v>1125</v>
      </c>
      <c r="BX11" s="141">
        <f t="shared" si="41"/>
        <v>3.2953670651470341</v>
      </c>
      <c r="BY11" s="27">
        <f t="shared" si="8"/>
        <v>15.295367065147033</v>
      </c>
      <c r="BZ11" s="32">
        <f t="shared" si="9"/>
        <v>0.21544870751458203</v>
      </c>
      <c r="CA11" s="130">
        <f t="shared" si="10"/>
        <v>0.78455129248541799</v>
      </c>
      <c r="CB11" s="28">
        <f t="shared" si="11"/>
        <v>37.288274192842756</v>
      </c>
      <c r="CC11" s="255">
        <f t="shared" si="12"/>
        <v>13500</v>
      </c>
      <c r="CD11" s="80">
        <f>IF($AZ$31="d",'Colony Type'!J38,IF($AZ$31="n",'Colony Type'!J66,IF($AZ$31="p",'Colony Type'!J94,IF($AZ$31="a",'Colony Type'!J122,IF($AZ$31="b",'Colony Type'!J150,IF($AZ$31="c",'Colony Type'!J178,IF($AZ$31="r",'Colony Type'!J206,IF($AZ$31="s",'Colony Type'!J206,IF($AZ$31="f",'Colony Type'!J262,"error")))))))))</f>
        <v>0.06</v>
      </c>
      <c r="CE11" s="106">
        <f t="shared" si="42"/>
        <v>3.8399999999999997E-2</v>
      </c>
      <c r="CF11" s="75">
        <f t="shared" si="43"/>
        <v>0.19199999999999998</v>
      </c>
      <c r="CG11" s="102">
        <f t="shared" si="44"/>
        <v>0.15063384815720024</v>
      </c>
      <c r="CH11" s="72">
        <f t="shared" si="13"/>
        <v>7.1593486450258084</v>
      </c>
      <c r="CI11" s="73">
        <f t="shared" si="45"/>
        <v>1.3810471923275093E-2</v>
      </c>
      <c r="CJ11" s="356">
        <f t="shared" si="14"/>
        <v>1.3715544854240203E-2</v>
      </c>
      <c r="CK11" s="357">
        <f t="shared" si="46"/>
        <v>1.0069211300056771</v>
      </c>
      <c r="CL11" s="73">
        <f t="shared" si="15"/>
        <v>18.295367065147033</v>
      </c>
      <c r="CM11" s="355">
        <v>1</v>
      </c>
      <c r="CN11" s="84">
        <f t="shared" si="16"/>
        <v>4.2749999999999995</v>
      </c>
      <c r="CO11" s="78">
        <f t="shared" si="47"/>
        <v>9.8493837450082944E-2</v>
      </c>
      <c r="CP11" s="103">
        <f t="shared" si="48"/>
        <v>0.63391744432821773</v>
      </c>
      <c r="CQ11" s="71">
        <f t="shared" si="49"/>
        <v>12981.6</v>
      </c>
      <c r="CR11" s="71">
        <f t="shared" si="17"/>
        <v>30.128925547816948</v>
      </c>
      <c r="CS11" s="74">
        <f t="shared" si="18"/>
        <v>2.3208946160578779E-3</v>
      </c>
      <c r="CT11" s="353">
        <f t="shared" si="19"/>
        <v>2.3182034225432968E-3</v>
      </c>
      <c r="CU11" s="355">
        <f t="shared" si="50"/>
        <v>1.0007292130988348</v>
      </c>
      <c r="CV11" s="76">
        <f t="shared" si="20"/>
        <v>0.80800000000000005</v>
      </c>
      <c r="CW11" s="74">
        <f t="shared" si="21"/>
        <v>15.295367065147033</v>
      </c>
      <c r="CX11" s="354">
        <v>1</v>
      </c>
      <c r="CY11" s="83">
        <f t="shared" si="51"/>
        <v>2.2586249999999999</v>
      </c>
      <c r="CZ11" s="79">
        <f t="shared" si="22"/>
        <v>6.518049768398862E-2</v>
      </c>
      <c r="DA11" s="112">
        <f t="shared" si="23"/>
        <v>5.6155560266751142E-2</v>
      </c>
      <c r="DB11" s="55">
        <f t="shared" si="24"/>
        <v>-5.0125418235442863E-3</v>
      </c>
      <c r="DC11" s="133">
        <f t="shared" si="25"/>
        <v>5.1143018443206859E-2</v>
      </c>
      <c r="DD11" s="133"/>
      <c r="DE11" s="377">
        <f>DR10</f>
        <v>47.528153417114936</v>
      </c>
      <c r="DF11" s="240">
        <f t="shared" si="26"/>
        <v>33.269707391980454</v>
      </c>
      <c r="DG11" s="378">
        <f>IF(OR($AZ$31="n",$AZ$31="p"),(DF11*(1-0.25)),(DF11*(1-EK10)))</f>
        <v>26.94601707429424</v>
      </c>
      <c r="DH11" s="148">
        <f t="shared" si="52"/>
        <v>36.35288448329311</v>
      </c>
      <c r="DI11" s="17">
        <f t="shared" si="53"/>
        <v>83.881037900408046</v>
      </c>
      <c r="DJ11" s="266">
        <f t="shared" si="54"/>
        <v>6.1567983000689566</v>
      </c>
      <c r="DK11" s="135">
        <f t="shared" si="27"/>
        <v>77.724239600339089</v>
      </c>
      <c r="DL11" s="244">
        <f>'Mite Immigration'!C19</f>
        <v>0</v>
      </c>
      <c r="DM11" s="137">
        <f t="shared" si="55"/>
        <v>-2.0117762718155046</v>
      </c>
      <c r="DN11" s="98">
        <f t="shared" si="63"/>
        <v>-2.0117762718155046</v>
      </c>
      <c r="DO11" s="265">
        <f t="shared" si="28"/>
        <v>75.712463328523583</v>
      </c>
      <c r="DP11" s="392">
        <f>EQ$32</f>
        <v>0</v>
      </c>
      <c r="DQ11" s="135">
        <f t="shared" si="56"/>
        <v>0</v>
      </c>
      <c r="DR11" s="95">
        <f t="shared" si="29"/>
        <v>75.712463328523583</v>
      </c>
      <c r="DS11" s="29">
        <f t="shared" si="30"/>
        <v>3.0616145686081425E-2</v>
      </c>
      <c r="DT11" s="271">
        <f t="shared" si="31"/>
        <v>40648</v>
      </c>
      <c r="DU11" s="89">
        <f t="shared" si="32"/>
        <v>10.239879224272178</v>
      </c>
      <c r="DV11" s="29">
        <f t="shared" si="33"/>
        <v>6.399924515170111E-4</v>
      </c>
      <c r="DW11" s="145">
        <f t="shared" si="34"/>
        <v>0.20159762222785849</v>
      </c>
      <c r="DX11" s="494" t="str">
        <f t="shared" si="65"/>
        <v/>
      </c>
      <c r="DY11" s="494" t="str">
        <f t="shared" si="66"/>
        <v/>
      </c>
      <c r="DZ11" s="494"/>
      <c r="EA11">
        <f t="shared" si="67"/>
        <v>0</v>
      </c>
      <c r="EB11" s="17">
        <f t="shared" si="57"/>
        <v>9239.0625</v>
      </c>
      <c r="EC11" s="18">
        <f t="shared" si="58"/>
        <v>4000</v>
      </c>
      <c r="ED11" s="264">
        <f t="shared" si="59"/>
        <v>5239.0625</v>
      </c>
      <c r="EE11" s="264">
        <f t="shared" si="64"/>
        <v>344.48630136986299</v>
      </c>
      <c r="EF11" s="104">
        <f t="shared" si="60"/>
        <v>0.6</v>
      </c>
      <c r="EG11" s="263">
        <f t="shared" si="61"/>
        <v>2.0117762718155046</v>
      </c>
      <c r="EI11" s="17">
        <f t="shared" si="62"/>
        <v>36.35288448329311</v>
      </c>
      <c r="EJ11" s="164">
        <f>EQ$57</f>
        <v>9.3589327164010836</v>
      </c>
      <c r="EK11" s="37">
        <f>EP$59</f>
        <v>0.12950947508180505</v>
      </c>
      <c r="EO11" s="2">
        <v>40648</v>
      </c>
      <c r="EP11" s="259">
        <v>43023</v>
      </c>
      <c r="ER11" s="249">
        <v>0.62</v>
      </c>
      <c r="ES11">
        <v>7.875</v>
      </c>
    </row>
    <row r="12" spans="1:168" ht="13" x14ac:dyDescent="0.3">
      <c r="A12" s="54"/>
      <c r="B12" s="400"/>
      <c r="AE12" s="382"/>
      <c r="AF12" s="397"/>
      <c r="AZ12" s="405">
        <f t="shared" si="35"/>
        <v>40664</v>
      </c>
      <c r="BA12" s="59">
        <f t="shared" si="0"/>
        <v>75.712463328523583</v>
      </c>
      <c r="BB12" s="301">
        <f t="shared" si="36"/>
        <v>2.9958220404736884E-2</v>
      </c>
      <c r="BC12" s="233">
        <f t="shared" si="1"/>
        <v>0</v>
      </c>
      <c r="BD12" s="123">
        <f t="shared" si="37"/>
        <v>0.2697962228226764</v>
      </c>
      <c r="BE12" s="4">
        <f t="shared" si="2"/>
        <v>2.9453800114029871E-3</v>
      </c>
      <c r="BF12" s="3">
        <f t="shared" si="3"/>
        <v>0.24887462343620659</v>
      </c>
      <c r="BG12" s="498"/>
      <c r="BH12" s="496"/>
      <c r="BI12" s="496"/>
      <c r="BJ12" s="496"/>
      <c r="BK12" s="496"/>
      <c r="BL12" s="496"/>
      <c r="BN12" s="511"/>
      <c r="BO12" s="271">
        <f t="shared" si="38"/>
        <v>40664</v>
      </c>
      <c r="BP12" s="375">
        <f>IF($AZ$31="d",'Colony Type'!H39,IF($AZ$31="n",'Colony Type'!H67,IF($AZ$31="p",'Colony Type'!H95,IF($AZ$31="a",'Colony Type'!H123,IF($AZ$31="b",'Colony Type'!H151,IF($AZ$31="c",'Colony Type'!H179,IF($AZ$31="r",'Colony Type'!H207,IF($AZ$31="s",'Colony Type'!H235,IF($AZ$31="f",'Colony Type'!H263,"error")))))))))</f>
        <v>11</v>
      </c>
      <c r="BQ12">
        <f t="shared" si="4"/>
        <v>22000</v>
      </c>
      <c r="BR12" s="81">
        <f>IF($AZ$31="d",'Colony Type'!F39,IF($AZ$31="n",'Colony Type'!F67,IF($AZ$31="p",'Colony Type'!F95,IF($AZ$31="a",'Colony Type'!F123,IF($AZ$31="b",'Colony Type'!F151,IF($AZ$31="c",'Colony Type'!F179,IF($AZ$31="r",'Colony Type'!F207,IF($AZ$31="s",'Colony Type'!F235,IF($AZ$31="f",'Colony Type'!F263,"error")))))))))</f>
        <v>6</v>
      </c>
      <c r="BS12" s="17">
        <f t="shared" si="5"/>
        <v>27000</v>
      </c>
      <c r="BT12" s="21">
        <f t="shared" si="6"/>
        <v>1.2272727272727273</v>
      </c>
      <c r="BU12">
        <f t="shared" si="39"/>
        <v>16200</v>
      </c>
      <c r="BV12" s="18">
        <f t="shared" si="40"/>
        <v>47.715156184728393</v>
      </c>
      <c r="BW12" s="18">
        <f t="shared" si="7"/>
        <v>1350</v>
      </c>
      <c r="BX12" s="141">
        <f t="shared" si="41"/>
        <v>3.9760279367699338</v>
      </c>
      <c r="BY12" s="27">
        <f t="shared" si="8"/>
        <v>15.976027936769935</v>
      </c>
      <c r="BZ12" s="32">
        <f t="shared" si="9"/>
        <v>0.24887462343620659</v>
      </c>
      <c r="CA12" s="130">
        <f t="shared" si="10"/>
        <v>0.75112537656379341</v>
      </c>
      <c r="CB12" s="28">
        <f t="shared" si="11"/>
        <v>56.869552528209674</v>
      </c>
      <c r="CC12" s="255">
        <f t="shared" si="12"/>
        <v>16200</v>
      </c>
      <c r="CD12" s="80">
        <f>IF($AZ$31="d",'Colony Type'!J39,IF($AZ$31="n",'Colony Type'!J67,IF($AZ$31="p",'Colony Type'!J95,IF($AZ$31="a",'Colony Type'!J123,IF($AZ$31="b",'Colony Type'!J151,IF($AZ$31="c",'Colony Type'!J179,IF($AZ$31="r",'Colony Type'!J207,IF($AZ$31="s",'Colony Type'!J207,IF($AZ$31="f",'Colony Type'!J263,"error")))))))))</f>
        <v>0.06</v>
      </c>
      <c r="CE12" s="106">
        <f t="shared" si="42"/>
        <v>3.8399999999999997E-2</v>
      </c>
      <c r="CF12" s="75">
        <f t="shared" si="43"/>
        <v>0.19199999999999998</v>
      </c>
      <c r="CG12" s="102">
        <f t="shared" si="44"/>
        <v>0.14421607230024833</v>
      </c>
      <c r="CH12" s="72">
        <f t="shared" si="13"/>
        <v>10.918954085416257</v>
      </c>
      <c r="CI12" s="73">
        <f t="shared" si="45"/>
        <v>1.7552331027225209E-2</v>
      </c>
      <c r="CJ12" s="356">
        <f t="shared" si="14"/>
        <v>1.7399186190333316E-2</v>
      </c>
      <c r="CK12" s="357">
        <f t="shared" si="46"/>
        <v>1.0088018390754954</v>
      </c>
      <c r="CL12" s="73">
        <f t="shared" si="15"/>
        <v>18.976027936769935</v>
      </c>
      <c r="CM12" s="355">
        <v>1</v>
      </c>
      <c r="CN12" s="84">
        <f t="shared" si="16"/>
        <v>4.2749999999999995</v>
      </c>
      <c r="CO12" s="78">
        <f t="shared" si="47"/>
        <v>9.8493837450082944E-2</v>
      </c>
      <c r="CP12" s="103">
        <f t="shared" si="48"/>
        <v>0.60690930426354506</v>
      </c>
      <c r="CQ12" s="71">
        <f t="shared" si="49"/>
        <v>15577.92</v>
      </c>
      <c r="CR12" s="71">
        <f t="shared" si="17"/>
        <v>45.950598442793421</v>
      </c>
      <c r="CS12" s="74">
        <f>CR12/CQ12</f>
        <v>2.9497261792841034E-3</v>
      </c>
      <c r="CT12" s="353">
        <f t="shared" si="19"/>
        <v>2.9453800114029871E-3</v>
      </c>
      <c r="CU12" s="355">
        <f t="shared" si="50"/>
        <v>1.0011356878162918</v>
      </c>
      <c r="CV12" s="76">
        <f t="shared" si="20"/>
        <v>0.80800000000000005</v>
      </c>
      <c r="CW12" s="74">
        <f t="shared" si="21"/>
        <v>15.976027936769935</v>
      </c>
      <c r="CX12" s="354">
        <v>1</v>
      </c>
      <c r="CY12" s="83">
        <f t="shared" si="51"/>
        <v>2.2586249999999999</v>
      </c>
      <c r="CZ12" s="79">
        <f t="shared" si="22"/>
        <v>6.518049768398862E-2</v>
      </c>
      <c r="DA12" s="112">
        <f t="shared" si="23"/>
        <v>5.3763044883771212E-2</v>
      </c>
      <c r="DB12" s="55">
        <f t="shared" si="24"/>
        <v>-5.0125418235442863E-3</v>
      </c>
      <c r="DC12" s="133">
        <f t="shared" si="25"/>
        <v>4.8750503060226928E-2</v>
      </c>
      <c r="DD12" s="133"/>
      <c r="DE12" s="377">
        <f t="shared" ref="DE12:DE28" si="68">DR11</f>
        <v>75.712463328523583</v>
      </c>
      <c r="DF12" s="240">
        <f t="shared" si="26"/>
        <v>52.998724329966507</v>
      </c>
      <c r="DG12" s="240">
        <f>DF12*(1-EK11)</f>
        <v>46.134887361987253</v>
      </c>
      <c r="DH12" s="148">
        <f t="shared" si="52"/>
        <v>58.368109296101892</v>
      </c>
      <c r="DI12" s="17">
        <f t="shared" si="53"/>
        <v>134.08057262462546</v>
      </c>
      <c r="DJ12" s="266">
        <f t="shared" si="54"/>
        <v>9.8414023272779616</v>
      </c>
      <c r="DK12" s="135">
        <f t="shared" si="27"/>
        <v>124.2391702973475</v>
      </c>
      <c r="DL12" s="244">
        <f>'Mite Immigration'!C20</f>
        <v>0</v>
      </c>
      <c r="DM12" s="137">
        <f t="shared" si="55"/>
        <v>-4.8298341674952336</v>
      </c>
      <c r="DN12" s="98">
        <f t="shared" si="63"/>
        <v>-4.8298341674952336</v>
      </c>
      <c r="DO12" s="265">
        <f t="shared" si="28"/>
        <v>119.40933612985226</v>
      </c>
      <c r="DP12" s="392">
        <f>ER$32</f>
        <v>0</v>
      </c>
      <c r="DQ12" s="135">
        <f t="shared" si="56"/>
        <v>0</v>
      </c>
      <c r="DR12" s="95">
        <f t="shared" si="29"/>
        <v>119.40933612985226</v>
      </c>
      <c r="DS12" s="29">
        <f t="shared" si="30"/>
        <v>2.9958220404736884E-2</v>
      </c>
      <c r="DT12" s="271">
        <f t="shared" si="31"/>
        <v>40664</v>
      </c>
      <c r="DU12" s="89">
        <f t="shared" si="32"/>
        <v>18.842910800313906</v>
      </c>
      <c r="DV12" s="29">
        <f t="shared" si="33"/>
        <v>8.5649594546881389E-4</v>
      </c>
      <c r="DW12" s="145">
        <f t="shared" si="34"/>
        <v>0.2697962228226764</v>
      </c>
      <c r="DX12" s="494" t="str">
        <f t="shared" si="65"/>
        <v/>
      </c>
      <c r="DY12" s="494" t="str">
        <f t="shared" si="66"/>
        <v/>
      </c>
      <c r="DZ12" s="494"/>
      <c r="EA12">
        <f t="shared" si="67"/>
        <v>0</v>
      </c>
      <c r="EB12" s="17">
        <f t="shared" si="57"/>
        <v>15398.4375</v>
      </c>
      <c r="EC12" s="18">
        <f t="shared" si="58"/>
        <v>6000</v>
      </c>
      <c r="ED12" s="264">
        <f t="shared" si="59"/>
        <v>9398.4375</v>
      </c>
      <c r="EE12" s="264">
        <f t="shared" si="64"/>
        <v>617.97945205479448</v>
      </c>
      <c r="EF12" s="104">
        <f t="shared" si="60"/>
        <v>0.6</v>
      </c>
      <c r="EG12" s="263">
        <f t="shared" si="61"/>
        <v>4.8298341674952336</v>
      </c>
      <c r="EI12" s="17">
        <f t="shared" si="62"/>
        <v>58.368109296101892</v>
      </c>
      <c r="EJ12" s="164">
        <f>ER$57</f>
        <v>12.494891200198905</v>
      </c>
      <c r="EK12" s="37">
        <f>EQ$59</f>
        <v>0.10439898733345919</v>
      </c>
      <c r="EO12" s="2">
        <v>40664</v>
      </c>
      <c r="EP12" s="259">
        <v>43040</v>
      </c>
      <c r="ER12" s="249">
        <v>0.6</v>
      </c>
    </row>
    <row r="13" spans="1:168" ht="12.75" customHeight="1" x14ac:dyDescent="0.3">
      <c r="A13" s="54"/>
      <c r="B13" s="400"/>
      <c r="AE13" s="382"/>
      <c r="AF13" s="397"/>
      <c r="AZ13" s="405">
        <f t="shared" si="35"/>
        <v>40678</v>
      </c>
      <c r="BA13" s="59">
        <f t="shared" si="0"/>
        <v>119.40933612985226</v>
      </c>
      <c r="BB13" s="301">
        <f t="shared" si="36"/>
        <v>2.7897518538664345E-2</v>
      </c>
      <c r="BC13" s="233">
        <f t="shared" si="1"/>
        <v>0</v>
      </c>
      <c r="BD13" s="123">
        <f t="shared" si="37"/>
        <v>0.37530574363797831</v>
      </c>
      <c r="BE13" s="4">
        <f t="shared" si="2"/>
        <v>3.9977799176934559E-3</v>
      </c>
      <c r="BF13" s="3">
        <f t="shared" si="3"/>
        <v>0.29933508814694854</v>
      </c>
      <c r="BG13" s="499" t="s">
        <v>375</v>
      </c>
      <c r="BH13" s="496" t="s">
        <v>312</v>
      </c>
      <c r="BI13" s="496"/>
      <c r="BJ13" s="496"/>
      <c r="BK13" s="496"/>
      <c r="BL13" s="496"/>
      <c r="BN13" s="511"/>
      <c r="BO13" s="271">
        <f t="shared" si="38"/>
        <v>40678</v>
      </c>
      <c r="BP13" s="375">
        <f>IF($AZ$31="d",'Colony Type'!H40,IF($AZ$31="n",'Colony Type'!H68,IF($AZ$31="p",'Colony Type'!H96,IF($AZ$31="a",'Colony Type'!H124,IF($AZ$31="b",'Colony Type'!H152,IF($AZ$31="c",'Colony Type'!H180,IF($AZ$31="r",'Colony Type'!H208,IF($AZ$31="s",'Colony Type'!H236,IF($AZ$31="f",'Colony Type'!H264,"error")))))))))</f>
        <v>15</v>
      </c>
      <c r="BQ13">
        <f t="shared" si="4"/>
        <v>30000</v>
      </c>
      <c r="BR13" s="81">
        <f>IF($AZ$31="d",'Colony Type'!F40,IF($AZ$31="n",'Colony Type'!F68,IF($AZ$31="p",'Colony Type'!F96,IF($AZ$31="a",'Colony Type'!F124,IF($AZ$31="b",'Colony Type'!F152,IF($AZ$31="c",'Colony Type'!F180,IF($AZ$31="r",'Colony Type'!F208,IF($AZ$31="s",'Colony Type'!F236,IF($AZ$31="f",'Colony Type'!F264,"error")))))))))</f>
        <v>6.5</v>
      </c>
      <c r="BS13" s="17">
        <f t="shared" si="5"/>
        <v>29250</v>
      </c>
      <c r="BT13" s="21">
        <f t="shared" si="6"/>
        <v>0.97499999999999998</v>
      </c>
      <c r="BU13">
        <f t="shared" si="39"/>
        <v>17550</v>
      </c>
      <c r="BV13" s="18">
        <f t="shared" si="40"/>
        <v>70.161037555520153</v>
      </c>
      <c r="BW13" s="18">
        <f t="shared" si="7"/>
        <v>1462.5</v>
      </c>
      <c r="BX13" s="141">
        <f t="shared" si="41"/>
        <v>5.1265890399214493</v>
      </c>
      <c r="BY13" s="27">
        <f t="shared" si="8"/>
        <v>17.126589039921448</v>
      </c>
      <c r="BZ13" s="32">
        <f t="shared" si="9"/>
        <v>0.29933508814694854</v>
      </c>
      <c r="CA13" s="130">
        <f t="shared" si="10"/>
        <v>0.70066491185305146</v>
      </c>
      <c r="CB13" s="28">
        <f t="shared" si="11"/>
        <v>83.665931973854327</v>
      </c>
      <c r="CC13" s="255">
        <f t="shared" si="12"/>
        <v>17550</v>
      </c>
      <c r="CD13" s="80">
        <f>IF($AZ$31="d",'Colony Type'!J40,IF($AZ$31="n",'Colony Type'!J68,IF($AZ$31="p",'Colony Type'!J96,IF($AZ$31="a",'Colony Type'!J124,IF($AZ$31="b",'Colony Type'!J152,IF($AZ$31="c",'Colony Type'!J180,IF($AZ$31="r",'Colony Type'!J208,IF($AZ$31="s",'Colony Type'!J208,IF($AZ$31="f",'Colony Type'!J264,"error")))))))))</f>
        <v>0.06</v>
      </c>
      <c r="CE13" s="106">
        <f t="shared" si="42"/>
        <v>3.8399999999999997E-2</v>
      </c>
      <c r="CF13" s="75">
        <f t="shared" si="43"/>
        <v>0.19199999999999998</v>
      </c>
      <c r="CG13" s="102">
        <f t="shared" si="44"/>
        <v>0.13452766307578587</v>
      </c>
      <c r="CH13" s="72">
        <f t="shared" si="13"/>
        <v>16.063858938980029</v>
      </c>
      <c r="CI13" s="73">
        <f t="shared" si="45"/>
        <v>2.3836447855798953E-2</v>
      </c>
      <c r="CJ13" s="356">
        <f t="shared" si="14"/>
        <v>2.3554603562713439E-2</v>
      </c>
      <c r="CK13" s="357">
        <f t="shared" si="46"/>
        <v>1.0119655715000726</v>
      </c>
      <c r="CL13" s="73">
        <f t="shared" si="15"/>
        <v>20.126589039921448</v>
      </c>
      <c r="CM13" s="355">
        <v>1</v>
      </c>
      <c r="CN13" s="84">
        <f t="shared" si="16"/>
        <v>4.2749999999999995</v>
      </c>
      <c r="CO13" s="78">
        <f t="shared" si="47"/>
        <v>9.8493837450082944E-2</v>
      </c>
      <c r="CP13" s="103">
        <f t="shared" si="48"/>
        <v>0.56613724877726557</v>
      </c>
      <c r="CQ13" s="71">
        <f t="shared" si="49"/>
        <v>16876.080000000002</v>
      </c>
      <c r="CR13" s="71">
        <f t="shared" si="17"/>
        <v>67.602073034874294</v>
      </c>
      <c r="CS13" s="74">
        <f t="shared" si="18"/>
        <v>4.0057924017232842E-3</v>
      </c>
      <c r="CT13" s="353">
        <f t="shared" si="19"/>
        <v>3.9977799176934559E-3</v>
      </c>
      <c r="CU13" s="355">
        <f t="shared" si="50"/>
        <v>1.0017536559085936</v>
      </c>
      <c r="CV13" s="76">
        <f t="shared" si="20"/>
        <v>0.80800000000000005</v>
      </c>
      <c r="CW13" s="74">
        <f t="shared" si="21"/>
        <v>17.126589039921448</v>
      </c>
      <c r="CX13" s="354">
        <v>1</v>
      </c>
      <c r="CY13" s="83">
        <f t="shared" si="51"/>
        <v>2.2586249999999999</v>
      </c>
      <c r="CZ13" s="79">
        <f t="shared" si="22"/>
        <v>6.518049768398862E-2</v>
      </c>
      <c r="DA13" s="112">
        <f t="shared" si="23"/>
        <v>5.0151253412272223E-2</v>
      </c>
      <c r="DB13" s="55">
        <f t="shared" si="24"/>
        <v>-5.0125418235442863E-3</v>
      </c>
      <c r="DC13" s="133">
        <f t="shared" si="25"/>
        <v>4.5138711588727939E-2</v>
      </c>
      <c r="DD13" s="133"/>
      <c r="DE13" s="377">
        <f t="shared" si="68"/>
        <v>119.40933612985226</v>
      </c>
      <c r="DF13" s="240">
        <f t="shared" si="26"/>
        <v>83.586535290896578</v>
      </c>
      <c r="DG13" s="240">
        <f t="shared" ref="DG13:DG28" si="69">DF13*(1-EK12)</f>
        <v>74.860185651814518</v>
      </c>
      <c r="DH13" s="148">
        <f t="shared" si="52"/>
        <v>85.64707214063769</v>
      </c>
      <c r="DI13" s="17">
        <f t="shared" si="53"/>
        <v>205.05640827048995</v>
      </c>
      <c r="DJ13" s="266">
        <f t="shared" si="54"/>
        <v>15.050969533268699</v>
      </c>
      <c r="DK13" s="135">
        <f t="shared" si="27"/>
        <v>190.00543873722125</v>
      </c>
      <c r="DL13" s="244">
        <f>'Mite Immigration'!C21</f>
        <v>0</v>
      </c>
      <c r="DM13" s="137">
        <f t="shared" si="55"/>
        <v>-7.4904771334413169</v>
      </c>
      <c r="DN13" s="98">
        <f t="shared" si="63"/>
        <v>-7.4904771334413169</v>
      </c>
      <c r="DO13" s="265">
        <f t="shared" si="28"/>
        <v>182.51496160377994</v>
      </c>
      <c r="DP13" s="392">
        <f>ES$32</f>
        <v>0</v>
      </c>
      <c r="DQ13" s="135">
        <f t="shared" si="56"/>
        <v>0</v>
      </c>
      <c r="DR13" s="95">
        <f t="shared" si="29"/>
        <v>182.51496160377994</v>
      </c>
      <c r="DS13" s="29">
        <f t="shared" si="30"/>
        <v>2.7897518538664345E-2</v>
      </c>
      <c r="DT13" s="271">
        <f t="shared" si="31"/>
        <v>40678</v>
      </c>
      <c r="DU13" s="89">
        <f t="shared" si="32"/>
        <v>35.743404155997936</v>
      </c>
      <c r="DV13" s="29">
        <f t="shared" si="33"/>
        <v>1.1914468051999311E-3</v>
      </c>
      <c r="DW13" s="145">
        <f t="shared" si="34"/>
        <v>0.37530574363797831</v>
      </c>
      <c r="DX13" s="494" t="str">
        <f t="shared" si="65"/>
        <v/>
      </c>
      <c r="DY13" s="494" t="str">
        <f t="shared" si="66"/>
        <v/>
      </c>
      <c r="DZ13" s="494"/>
      <c r="EA13">
        <f t="shared" si="67"/>
        <v>0</v>
      </c>
      <c r="EB13" s="17">
        <f t="shared" si="57"/>
        <v>18478.125</v>
      </c>
      <c r="EC13" s="18">
        <f t="shared" si="58"/>
        <v>8000</v>
      </c>
      <c r="ED13" s="264">
        <f t="shared" si="59"/>
        <v>10478.125</v>
      </c>
      <c r="EE13" s="264">
        <f t="shared" si="64"/>
        <v>688.97260273972597</v>
      </c>
      <c r="EF13" s="104">
        <f t="shared" si="60"/>
        <v>0.6</v>
      </c>
      <c r="EG13" s="263">
        <f t="shared" si="61"/>
        <v>7.4904771334413169</v>
      </c>
      <c r="EI13" s="17">
        <f t="shared" si="62"/>
        <v>85.64707214063769</v>
      </c>
      <c r="EJ13" s="164">
        <f>ES$57</f>
        <v>16.850756739275884</v>
      </c>
      <c r="EK13" s="37">
        <f>ER$59</f>
        <v>8.8290146463873162E-2</v>
      </c>
      <c r="EO13" s="2">
        <v>40678</v>
      </c>
      <c r="EP13" s="259">
        <v>43054</v>
      </c>
      <c r="ER13" s="249">
        <v>0.57999999999999996</v>
      </c>
      <c r="ES13">
        <v>10.08</v>
      </c>
    </row>
    <row r="14" spans="1:168" ht="13" x14ac:dyDescent="0.3">
      <c r="A14" s="54"/>
      <c r="B14" s="400"/>
      <c r="AE14" s="382"/>
      <c r="AF14" s="397"/>
      <c r="AZ14" s="405">
        <f t="shared" si="35"/>
        <v>40695</v>
      </c>
      <c r="BA14" s="59">
        <f t="shared" si="0"/>
        <v>182.51496160377994</v>
      </c>
      <c r="BB14" s="301">
        <f t="shared" si="36"/>
        <v>2.6445422697004086E-2</v>
      </c>
      <c r="BC14" s="233">
        <f t="shared" si="1"/>
        <v>2</v>
      </c>
      <c r="BD14" s="123">
        <f t="shared" si="37"/>
        <v>0.50083106970590241</v>
      </c>
      <c r="BE14" s="4">
        <f t="shared" si="2"/>
        <v>5.5902501983888797E-3</v>
      </c>
      <c r="BF14" s="3">
        <f t="shared" si="3"/>
        <v>0.3310288417704309</v>
      </c>
      <c r="BG14" s="498"/>
      <c r="BH14" s="496"/>
      <c r="BI14" s="496"/>
      <c r="BJ14" s="496"/>
      <c r="BK14" s="496"/>
      <c r="BL14" s="496"/>
      <c r="BN14" s="511"/>
      <c r="BO14" s="271">
        <f t="shared" si="38"/>
        <v>40695</v>
      </c>
      <c r="BP14" s="375">
        <f>IF($AZ$31="d",'Colony Type'!H41,IF($AZ$31="n",'Colony Type'!H69,IF($AZ$31="p",'Colony Type'!H97,IF($AZ$31="a",'Colony Type'!H125,IF($AZ$31="b",'Colony Type'!H153,IF($AZ$31="c",'Colony Type'!H181,IF($AZ$31="r",'Colony Type'!H209,IF($AZ$31="s",'Colony Type'!H237,IF($AZ$31="f",'Colony Type'!H265,"error")))))))))</f>
        <v>19</v>
      </c>
      <c r="BQ14">
        <f t="shared" si="4"/>
        <v>38000</v>
      </c>
      <c r="BR14" s="81">
        <f>IF($AZ$31="d",'Colony Type'!F41,IF($AZ$31="n",'Colony Type'!F69,IF($AZ$31="p",'Colony Type'!F97,IF($AZ$31="a",'Colony Type'!F125,IF($AZ$31="b",'Colony Type'!F153,IF($AZ$31="c",'Colony Type'!F181,IF($AZ$31="r",'Colony Type'!F209,IF($AZ$31="s",'Colony Type'!F237,IF($AZ$31="f",'Colony Type'!F265,"error")))))))))</f>
        <v>7</v>
      </c>
      <c r="BS14" s="17">
        <f t="shared" si="5"/>
        <v>31500</v>
      </c>
      <c r="BT14" s="21">
        <f t="shared" si="6"/>
        <v>0.82894736842105265</v>
      </c>
      <c r="BU14">
        <f t="shared" si="39"/>
        <v>18900</v>
      </c>
      <c r="BV14" s="18">
        <f t="shared" si="40"/>
        <v>105.65572874954982</v>
      </c>
      <c r="BW14" s="18">
        <f t="shared" si="7"/>
        <v>1575</v>
      </c>
      <c r="BX14" s="141">
        <f t="shared" si="41"/>
        <v>5.9379930694739915</v>
      </c>
      <c r="BY14" s="27">
        <f t="shared" si="8"/>
        <v>17.93799306947399</v>
      </c>
      <c r="BZ14" s="32">
        <f t="shared" si="9"/>
        <v>0.3310288417704309</v>
      </c>
      <c r="CA14" s="130">
        <f t="shared" si="10"/>
        <v>0.6689711582295691</v>
      </c>
      <c r="CB14" s="28">
        <f t="shared" si="11"/>
        <v>122.097245258306</v>
      </c>
      <c r="CC14" s="255">
        <f t="shared" si="12"/>
        <v>18900</v>
      </c>
      <c r="CD14" s="80">
        <f>IF($AZ$31="d",'Colony Type'!J41,IF($AZ$31="n",'Colony Type'!J69,IF($AZ$31="p",'Colony Type'!J97,IF($AZ$31="a",'Colony Type'!J125,IF($AZ$31="b",'Colony Type'!J153,IF($AZ$31="c",'Colony Type'!J181,IF($AZ$31="r",'Colony Type'!J209,IF($AZ$31="s",'Colony Type'!J209,IF($AZ$31="f",'Colony Type'!J265,"error")))))))))</f>
        <v>0.05</v>
      </c>
      <c r="CE14" s="106">
        <f t="shared" si="42"/>
        <v>3.2000000000000001E-2</v>
      </c>
      <c r="CF14" s="75">
        <f t="shared" si="43"/>
        <v>0.16</v>
      </c>
      <c r="CG14" s="102">
        <f t="shared" si="44"/>
        <v>0.10703538531673105</v>
      </c>
      <c r="CH14" s="72">
        <f t="shared" si="13"/>
        <v>19.535559241328961</v>
      </c>
      <c r="CI14" s="73">
        <f t="shared" si="45"/>
        <v>3.2300858533943384E-2</v>
      </c>
      <c r="CJ14" s="356">
        <f t="shared" si="14"/>
        <v>3.1784757562994925E-2</v>
      </c>
      <c r="CK14" s="357">
        <f t="shared" si="46"/>
        <v>1.016237373210275</v>
      </c>
      <c r="CL14" s="73">
        <f t="shared" si="15"/>
        <v>20.93799306947399</v>
      </c>
      <c r="CM14" s="355">
        <v>1</v>
      </c>
      <c r="CN14" s="84">
        <f t="shared" si="16"/>
        <v>4.2749999999999995</v>
      </c>
      <c r="CO14" s="78">
        <f t="shared" si="47"/>
        <v>9.8493837450082944E-2</v>
      </c>
      <c r="CP14" s="103">
        <f t="shared" si="48"/>
        <v>0.56193577291283803</v>
      </c>
      <c r="CQ14" s="71">
        <f t="shared" si="49"/>
        <v>18295.2</v>
      </c>
      <c r="CR14" s="71">
        <f t="shared" si="17"/>
        <v>102.56168601697703</v>
      </c>
      <c r="CS14" s="74">
        <f t="shared" si="18"/>
        <v>5.605934125725711E-3</v>
      </c>
      <c r="CT14" s="353">
        <f t="shared" si="19"/>
        <v>5.5902501983888797E-3</v>
      </c>
      <c r="CU14" s="355">
        <f t="shared" si="50"/>
        <v>1.0026262332780354</v>
      </c>
      <c r="CV14" s="76">
        <f t="shared" si="20"/>
        <v>0.84</v>
      </c>
      <c r="CW14" s="74">
        <f t="shared" si="21"/>
        <v>17.93799306947399</v>
      </c>
      <c r="CX14" s="354">
        <v>1</v>
      </c>
      <c r="CY14" s="83">
        <f t="shared" si="51"/>
        <v>2.2586249999999999</v>
      </c>
      <c r="CZ14" s="79">
        <f t="shared" si="22"/>
        <v>6.518049768398862E-2</v>
      </c>
      <c r="DA14" s="112">
        <f t="shared" si="23"/>
        <v>4.7169579187688701E-2</v>
      </c>
      <c r="DB14" s="55">
        <f t="shared" si="24"/>
        <v>-5.0125418235442863E-3</v>
      </c>
      <c r="DC14" s="133">
        <f t="shared" si="25"/>
        <v>4.2157037364144417E-2</v>
      </c>
      <c r="DD14" s="133"/>
      <c r="DE14" s="377">
        <f t="shared" si="68"/>
        <v>182.51496160377994</v>
      </c>
      <c r="DF14" s="240">
        <f t="shared" si="26"/>
        <v>127.76047312264595</v>
      </c>
      <c r="DG14" s="240">
        <f t="shared" si="69"/>
        <v>116.48048223835382</v>
      </c>
      <c r="DH14" s="148">
        <f t="shared" si="52"/>
        <v>122.19251627273051</v>
      </c>
      <c r="DI14" s="17">
        <f t="shared" si="53"/>
        <v>304.70747787651044</v>
      </c>
      <c r="DJ14" s="266">
        <f t="shared" si="54"/>
        <v>22.365275022416881</v>
      </c>
      <c r="DK14" s="135">
        <f t="shared" si="27"/>
        <v>282.34220285409356</v>
      </c>
      <c r="DL14" s="244">
        <f>'Mite Immigration'!C22</f>
        <v>2</v>
      </c>
      <c r="DM14" s="137">
        <f t="shared" si="55"/>
        <v>-11.464708847151632</v>
      </c>
      <c r="DN14" s="98">
        <f t="shared" si="63"/>
        <v>-9.4647088471516323</v>
      </c>
      <c r="DO14" s="265">
        <f t="shared" si="28"/>
        <v>272.8774940069419</v>
      </c>
      <c r="DP14" s="392">
        <f>ET$32</f>
        <v>0</v>
      </c>
      <c r="DQ14" s="135">
        <f t="shared" si="56"/>
        <v>0</v>
      </c>
      <c r="DR14" s="95">
        <f t="shared" si="29"/>
        <v>272.8774940069419</v>
      </c>
      <c r="DS14" s="29">
        <f t="shared" si="30"/>
        <v>2.6445422697004086E-2</v>
      </c>
      <c r="DT14" s="271">
        <f t="shared" si="31"/>
        <v>40695</v>
      </c>
      <c r="DU14" s="89">
        <f t="shared" si="32"/>
        <v>60.417716345473941</v>
      </c>
      <c r="DV14" s="29">
        <f t="shared" si="33"/>
        <v>1.5899399038282616E-3</v>
      </c>
      <c r="DW14" s="145">
        <f t="shared" si="34"/>
        <v>0.50083106970590241</v>
      </c>
      <c r="DX14" s="494" t="str">
        <f t="shared" si="65"/>
        <v/>
      </c>
      <c r="DY14" s="494" t="str">
        <f t="shared" si="66"/>
        <v/>
      </c>
      <c r="DZ14" s="494"/>
      <c r="EA14">
        <f t="shared" si="67"/>
        <v>0</v>
      </c>
      <c r="EB14" s="17">
        <f t="shared" si="57"/>
        <v>20017.96875</v>
      </c>
      <c r="EC14" s="18">
        <f t="shared" si="58"/>
        <v>8000</v>
      </c>
      <c r="ED14" s="264">
        <f t="shared" si="59"/>
        <v>12017.96875</v>
      </c>
      <c r="EE14" s="264">
        <f t="shared" si="64"/>
        <v>790.22260273972597</v>
      </c>
      <c r="EF14" s="104">
        <f t="shared" si="60"/>
        <v>0.6</v>
      </c>
      <c r="EG14" s="263">
        <f t="shared" si="61"/>
        <v>11.464708847151632</v>
      </c>
      <c r="EI14" s="17">
        <f t="shared" si="62"/>
        <v>122.19251627273051</v>
      </c>
      <c r="EJ14" s="164">
        <f>ET$57</f>
        <v>24.805072430079466</v>
      </c>
      <c r="EK14" s="37">
        <f>ES$59</f>
        <v>7.7682839138731211E-2</v>
      </c>
      <c r="EO14" s="2">
        <v>40695</v>
      </c>
      <c r="EP14" s="259">
        <v>43070</v>
      </c>
      <c r="ER14" s="249">
        <v>0.56999999999999995</v>
      </c>
    </row>
    <row r="15" spans="1:168" ht="12.75" customHeight="1" x14ac:dyDescent="0.3">
      <c r="A15" s="54"/>
      <c r="B15" s="400"/>
      <c r="AE15" s="382"/>
      <c r="AF15" s="397"/>
      <c r="AZ15" s="405">
        <f t="shared" si="35"/>
        <v>40709</v>
      </c>
      <c r="BA15" s="59">
        <f t="shared" si="0"/>
        <v>272.8774940069419</v>
      </c>
      <c r="BB15" s="301">
        <f t="shared" si="36"/>
        <v>2.3829939186039102E-2</v>
      </c>
      <c r="BC15" s="233">
        <f t="shared" si="1"/>
        <v>3</v>
      </c>
      <c r="BD15" s="123">
        <f t="shared" si="37"/>
        <v>0.72242302116626456</v>
      </c>
      <c r="BE15" s="4">
        <f t="shared" si="2"/>
        <v>8.4669767569206522E-3</v>
      </c>
      <c r="BF15" s="3">
        <f t="shared" si="3"/>
        <v>0.36979921223943024</v>
      </c>
      <c r="BG15" s="499" t="s">
        <v>376</v>
      </c>
      <c r="BH15" s="496" t="s">
        <v>4</v>
      </c>
      <c r="BI15" s="496"/>
      <c r="BJ15" s="496"/>
      <c r="BK15" s="496"/>
      <c r="BL15" s="496"/>
      <c r="BN15" s="511"/>
      <c r="BO15" s="271">
        <f t="shared" si="38"/>
        <v>40709</v>
      </c>
      <c r="BP15" s="375">
        <f>IF($AZ$31="d",'Colony Type'!H42,IF($AZ$31="n",'Colony Type'!H70,IF($AZ$31="p",'Colony Type'!H98,IF($AZ$31="a",'Colony Type'!H126,IF($AZ$31="b",'Colony Type'!H154,IF($AZ$31="c",'Colony Type'!H182,IF($AZ$31="r",'Colony Type'!H210,IF($AZ$31="s",'Colony Type'!H238,IF($AZ$31="f",'Colony Type'!H266,"error")))))))))</f>
        <v>22</v>
      </c>
      <c r="BQ15">
        <f t="shared" si="4"/>
        <v>44000</v>
      </c>
      <c r="BR15" s="81">
        <f>IF($AZ$31="d",'Colony Type'!F42,IF($AZ$31="n",'Colony Type'!F70,IF($AZ$31="p",'Colony Type'!F98,IF($AZ$31="a",'Colony Type'!F126,IF($AZ$31="b",'Colony Type'!F154,IF($AZ$31="c",'Colony Type'!F182,IF($AZ$31="r",'Colony Type'!F210,IF($AZ$31="s",'Colony Type'!F238,IF($AZ$31="f",'Colony Type'!F266,"error")))))))))</f>
        <v>6.5</v>
      </c>
      <c r="BS15" s="17">
        <f t="shared" si="5"/>
        <v>29250</v>
      </c>
      <c r="BT15" s="21">
        <f t="shared" si="6"/>
        <v>0.66477272727272729</v>
      </c>
      <c r="BU15">
        <f t="shared" si="39"/>
        <v>17550</v>
      </c>
      <c r="BV15" s="18">
        <f t="shared" si="40"/>
        <v>148.59544208395744</v>
      </c>
      <c r="BW15" s="18">
        <f t="shared" si="7"/>
        <v>1462.5</v>
      </c>
      <c r="BX15" s="141">
        <f t="shared" si="41"/>
        <v>7.041550301201978</v>
      </c>
      <c r="BY15" s="27">
        <f t="shared" si="8"/>
        <v>19.04155030120198</v>
      </c>
      <c r="BZ15" s="32">
        <f t="shared" si="9"/>
        <v>0.36979921223943024</v>
      </c>
      <c r="CA15" s="130">
        <f t="shared" si="10"/>
        <v>0.63020078776056976</v>
      </c>
      <c r="CB15" s="28">
        <f t="shared" si="11"/>
        <v>171.96761168530495</v>
      </c>
      <c r="CC15" s="255">
        <f t="shared" si="12"/>
        <v>17550</v>
      </c>
      <c r="CD15" s="80">
        <f>IF($AZ$31="d",'Colony Type'!J42,IF($AZ$31="n",'Colony Type'!J70,IF($AZ$31="p",'Colony Type'!J98,IF($AZ$31="a",'Colony Type'!J126,IF($AZ$31="b",'Colony Type'!J154,IF($AZ$31="c",'Colony Type'!J182,IF($AZ$31="r",'Colony Type'!J210,IF($AZ$31="s",'Colony Type'!J210,IF($AZ$31="f",'Colony Type'!J266,"error")))))))))</f>
        <v>0.05</v>
      </c>
      <c r="CE15" s="106">
        <f t="shared" si="42"/>
        <v>3.2000000000000001E-2</v>
      </c>
      <c r="CF15" s="75">
        <f t="shared" si="43"/>
        <v>0.16</v>
      </c>
      <c r="CG15" s="102">
        <f t="shared" si="44"/>
        <v>0.10083212604169116</v>
      </c>
      <c r="CH15" s="72">
        <f t="shared" si="13"/>
        <v>27.514817869648791</v>
      </c>
      <c r="CI15" s="73">
        <f t="shared" si="45"/>
        <v>4.899362156276494E-2</v>
      </c>
      <c r="CJ15" s="356">
        <f t="shared" si="14"/>
        <v>4.7812796854553419E-2</v>
      </c>
      <c r="CK15" s="357">
        <f t="shared" si="46"/>
        <v>1.0246968340254929</v>
      </c>
      <c r="CL15" s="73">
        <f t="shared" si="15"/>
        <v>22.04155030120198</v>
      </c>
      <c r="CM15" s="355">
        <v>1</v>
      </c>
      <c r="CN15" s="84">
        <f t="shared" si="16"/>
        <v>4.2749999999999995</v>
      </c>
      <c r="CO15" s="78">
        <f t="shared" si="47"/>
        <v>9.8493837450082944E-2</v>
      </c>
      <c r="CP15" s="103">
        <f t="shared" si="48"/>
        <v>0.52936866171887864</v>
      </c>
      <c r="CQ15" s="71">
        <f t="shared" si="49"/>
        <v>16988.399999999998</v>
      </c>
      <c r="CR15" s="71">
        <f t="shared" si="17"/>
        <v>144.45279381565615</v>
      </c>
      <c r="CS15" s="74">
        <f t="shared" si="18"/>
        <v>8.503025229901354E-3</v>
      </c>
      <c r="CT15" s="353">
        <f t="shared" si="19"/>
        <v>8.4669767569206522E-3</v>
      </c>
      <c r="CU15" s="355">
        <f t="shared" si="50"/>
        <v>1.0041389429832881</v>
      </c>
      <c r="CV15" s="76">
        <f t="shared" si="20"/>
        <v>0.84</v>
      </c>
      <c r="CW15" s="74">
        <f t="shared" si="21"/>
        <v>19.04155030120198</v>
      </c>
      <c r="CX15" s="354">
        <v>1</v>
      </c>
      <c r="CY15" s="83">
        <f t="shared" si="51"/>
        <v>2.2586249999999999</v>
      </c>
      <c r="CZ15" s="79">
        <f t="shared" si="22"/>
        <v>6.518049768398862E-2</v>
      </c>
      <c r="DA15" s="112">
        <f t="shared" si="23"/>
        <v>4.4435855861240131E-2</v>
      </c>
      <c r="DB15" s="55">
        <f t="shared" si="24"/>
        <v>-5.0125418235442863E-3</v>
      </c>
      <c r="DC15" s="133">
        <f t="shared" si="25"/>
        <v>3.9423314037695847E-2</v>
      </c>
      <c r="DD15" s="133"/>
      <c r="DE15" s="377">
        <f t="shared" si="68"/>
        <v>272.8774940069419</v>
      </c>
      <c r="DF15" s="240">
        <f t="shared" si="26"/>
        <v>191.01424580485931</v>
      </c>
      <c r="DG15" s="240">
        <f t="shared" si="69"/>
        <v>176.17571687479438</v>
      </c>
      <c r="DH15" s="148">
        <f>DG15*EXP(DA15*$BP$36)-DG15</f>
        <v>170.11449848504071</v>
      </c>
      <c r="DI15" s="17">
        <f t="shared" si="53"/>
        <v>442.99199249198261</v>
      </c>
      <c r="DJ15" s="266">
        <f t="shared" si="54"/>
        <v>32.515243189492423</v>
      </c>
      <c r="DK15" s="135">
        <f t="shared" si="27"/>
        <v>410.47674930249019</v>
      </c>
      <c r="DL15" s="244">
        <f>'Mite Immigration'!C23</f>
        <v>3</v>
      </c>
      <c r="DM15" s="137">
        <f t="shared" si="55"/>
        <v>-21.408232207596715</v>
      </c>
      <c r="DN15" s="98">
        <f t="shared" si="63"/>
        <v>-18.408232207596715</v>
      </c>
      <c r="DO15" s="265">
        <f t="shared" si="28"/>
        <v>392.06851709489348</v>
      </c>
      <c r="DP15" s="392">
        <f>EU$32</f>
        <v>0</v>
      </c>
      <c r="DQ15" s="135">
        <f t="shared" si="56"/>
        <v>0</v>
      </c>
      <c r="DR15" s="95">
        <f t="shared" si="29"/>
        <v>392.06851709489348</v>
      </c>
      <c r="DS15" s="29">
        <f t="shared" si="30"/>
        <v>2.3829939186039102E-2</v>
      </c>
      <c r="DT15" s="271">
        <f t="shared" si="31"/>
        <v>40709</v>
      </c>
      <c r="DU15" s="89">
        <f t="shared" si="32"/>
        <v>100.90988232163696</v>
      </c>
      <c r="DV15" s="29">
        <f t="shared" si="33"/>
        <v>2.29340641640084E-3</v>
      </c>
      <c r="DW15" s="145">
        <f t="shared" si="34"/>
        <v>0.72242302116626456</v>
      </c>
      <c r="DX15" s="494" t="str">
        <f t="shared" si="65"/>
        <v/>
      </c>
      <c r="DY15" s="494" t="str">
        <f t="shared" si="66"/>
        <v/>
      </c>
      <c r="DZ15" s="494"/>
      <c r="EA15">
        <f t="shared" si="67"/>
        <v>0</v>
      </c>
      <c r="EB15" s="17">
        <f t="shared" si="57"/>
        <v>21557.8125</v>
      </c>
      <c r="EC15" s="18">
        <f t="shared" si="58"/>
        <v>6000</v>
      </c>
      <c r="ED15" s="264">
        <f t="shared" si="59"/>
        <v>15557.8125</v>
      </c>
      <c r="EE15" s="264">
        <f t="shared" si="64"/>
        <v>1022.9794520547945</v>
      </c>
      <c r="EF15" s="104">
        <f t="shared" si="60"/>
        <v>0.6</v>
      </c>
      <c r="EG15" s="263">
        <f t="shared" si="61"/>
        <v>21.408232207596715</v>
      </c>
      <c r="EI15" s="17">
        <f t="shared" si="62"/>
        <v>170.11449848504071</v>
      </c>
      <c r="EJ15" s="164">
        <f>EU$57</f>
        <v>39.450678702129728</v>
      </c>
      <c r="EK15" s="37">
        <f>ET$59</f>
        <v>7.6701299730230432E-2</v>
      </c>
      <c r="EO15" s="2">
        <v>40709</v>
      </c>
      <c r="EP15" s="259">
        <v>43084</v>
      </c>
      <c r="ER15" s="249">
        <v>0.55000000000000004</v>
      </c>
      <c r="ES15">
        <v>5.9849999999999994</v>
      </c>
    </row>
    <row r="16" spans="1:168" ht="13" x14ac:dyDescent="0.3">
      <c r="A16" s="54"/>
      <c r="B16" s="400"/>
      <c r="AE16" s="382"/>
      <c r="AF16" s="397"/>
      <c r="AZ16" s="405">
        <f t="shared" si="35"/>
        <v>40725</v>
      </c>
      <c r="BA16" s="59">
        <f t="shared" si="0"/>
        <v>392.06851709489348</v>
      </c>
      <c r="BB16" s="301">
        <f t="shared" si="36"/>
        <v>2.2373422514163462E-2</v>
      </c>
      <c r="BC16" s="233">
        <f t="shared" si="1"/>
        <v>5</v>
      </c>
      <c r="BD16" s="123">
        <f t="shared" si="37"/>
        <v>1.0196129127206304</v>
      </c>
      <c r="BE16" s="4">
        <f t="shared" si="2"/>
        <v>1.2598966101868947E-2</v>
      </c>
      <c r="BF16" s="3">
        <f t="shared" si="3"/>
        <v>0.39628172098980846</v>
      </c>
      <c r="BG16" s="498"/>
      <c r="BH16" s="496"/>
      <c r="BI16" s="496"/>
      <c r="BJ16" s="496"/>
      <c r="BK16" s="496"/>
      <c r="BL16" s="496"/>
      <c r="BN16" s="511"/>
      <c r="BO16" s="271">
        <f t="shared" si="38"/>
        <v>40725</v>
      </c>
      <c r="BP16" s="375">
        <f>IF($AZ$31="d",'Colony Type'!H43,IF($AZ$31="n",'Colony Type'!H71,IF($AZ$31="p",'Colony Type'!H99,IF($AZ$31="a",'Colony Type'!H127,IF($AZ$31="b",'Colony Type'!H155,IF($AZ$31="c",'Colony Type'!H183,IF($AZ$31="r",'Colony Type'!H211,IF($AZ$31="s",'Colony Type'!H239,IF($AZ$31="f",'Colony Type'!H267,"error")))))))))</f>
        <v>24</v>
      </c>
      <c r="BQ16">
        <f t="shared" si="4"/>
        <v>48000</v>
      </c>
      <c r="BR16" s="81">
        <f>IF($AZ$31="d",'Colony Type'!F43,IF($AZ$31="n",'Colony Type'!F71,IF($AZ$31="p",'Colony Type'!F99,IF($AZ$31="a",'Colony Type'!F127,IF($AZ$31="b",'Colony Type'!F155,IF($AZ$31="c",'Colony Type'!F183,IF($AZ$31="r",'Colony Type'!F211,IF($AZ$31="s",'Colony Type'!F239,IF($AZ$31="f",'Colony Type'!F267,"error")))))))))</f>
        <v>6</v>
      </c>
      <c r="BS16" s="17">
        <f t="shared" si="5"/>
        <v>27000</v>
      </c>
      <c r="BT16" s="21">
        <f t="shared" si="6"/>
        <v>0.5625</v>
      </c>
      <c r="BU16">
        <f t="shared" si="39"/>
        <v>16200</v>
      </c>
      <c r="BV16" s="18">
        <f t="shared" si="40"/>
        <v>204.10325085027694</v>
      </c>
      <c r="BW16" s="128">
        <f t="shared" si="7"/>
        <v>1350</v>
      </c>
      <c r="BX16" s="141">
        <f t="shared" si="41"/>
        <v>7.8768207245178088</v>
      </c>
      <c r="BY16" s="27">
        <f t="shared" si="8"/>
        <v>19.87682072451781</v>
      </c>
      <c r="BZ16" s="32">
        <f t="shared" si="9"/>
        <v>0.39628172098980846</v>
      </c>
      <c r="CA16" s="130">
        <f t="shared" si="10"/>
        <v>0.60371827901019159</v>
      </c>
      <c r="CB16" s="28">
        <f t="shared" si="11"/>
        <v>236.69893039460698</v>
      </c>
      <c r="CC16" s="255">
        <f t="shared" si="12"/>
        <v>16200</v>
      </c>
      <c r="CD16" s="80">
        <f>IF($AZ$31="d",'Colony Type'!J43,IF($AZ$31="n",'Colony Type'!J71,IF($AZ$31="p",'Colony Type'!J99,IF($AZ$31="a",'Colony Type'!J127,IF($AZ$31="b",'Colony Type'!J155,IF($AZ$31="c",'Colony Type'!J183,IF($AZ$31="r",'Colony Type'!J211,IF($AZ$31="s",'Colony Type'!J211,IF($AZ$31="f",'Colony Type'!J267,"error")))))))))</f>
        <v>0.05</v>
      </c>
      <c r="CE16" s="106">
        <f t="shared" si="42"/>
        <v>3.2000000000000001E-2</v>
      </c>
      <c r="CF16" s="75">
        <f t="shared" si="43"/>
        <v>0.16</v>
      </c>
      <c r="CG16" s="102">
        <f t="shared" si="44"/>
        <v>9.6594924641630664E-2</v>
      </c>
      <c r="CH16" s="72">
        <f t="shared" si="13"/>
        <v>37.871828863137118</v>
      </c>
      <c r="CI16" s="73">
        <f t="shared" si="45"/>
        <v>7.3055225430434259E-2</v>
      </c>
      <c r="CJ16" s="356">
        <f t="shared" si="14"/>
        <v>7.0450506162632931E-2</v>
      </c>
      <c r="CK16" s="357">
        <f t="shared" si="46"/>
        <v>1.0369723286556438</v>
      </c>
      <c r="CL16" s="73">
        <f t="shared" si="15"/>
        <v>22.87682072451781</v>
      </c>
      <c r="CM16" s="355">
        <v>1</v>
      </c>
      <c r="CN16" s="84">
        <f t="shared" si="16"/>
        <v>4.2749999999999995</v>
      </c>
      <c r="CO16" s="78">
        <f t="shared" si="47"/>
        <v>9.8493837450082944E-2</v>
      </c>
      <c r="CP16" s="103">
        <f t="shared" si="48"/>
        <v>0.50712335436856093</v>
      </c>
      <c r="CQ16" s="71">
        <f t="shared" si="49"/>
        <v>15681.6</v>
      </c>
      <c r="CR16" s="71">
        <f t="shared" si="17"/>
        <v>198.82710153146985</v>
      </c>
      <c r="CS16" s="74">
        <f t="shared" si="18"/>
        <v>1.2679006066439001E-2</v>
      </c>
      <c r="CT16" s="353">
        <f t="shared" si="19"/>
        <v>1.2598966101868947E-2</v>
      </c>
      <c r="CU16" s="355">
        <f t="shared" si="50"/>
        <v>1.0062730299376228</v>
      </c>
      <c r="CV16" s="76">
        <f t="shared" si="20"/>
        <v>0.84</v>
      </c>
      <c r="CW16" s="74">
        <f t="shared" si="21"/>
        <v>19.87682072451781</v>
      </c>
      <c r="CX16" s="354">
        <v>1</v>
      </c>
      <c r="CY16" s="83">
        <f t="shared" si="51"/>
        <v>2.2586249999999999</v>
      </c>
      <c r="CZ16" s="79">
        <f t="shared" si="22"/>
        <v>6.518049768398862E-2</v>
      </c>
      <c r="DA16" s="112">
        <f t="shared" si="23"/>
        <v>4.256855743107231E-2</v>
      </c>
      <c r="DB16" s="55">
        <f t="shared" si="24"/>
        <v>-5.0125418235442863E-3</v>
      </c>
      <c r="DC16" s="133">
        <f t="shared" si="25"/>
        <v>3.7556015607528026E-2</v>
      </c>
      <c r="DD16" s="133"/>
      <c r="DE16" s="377">
        <f t="shared" si="68"/>
        <v>392.06851709489348</v>
      </c>
      <c r="DF16" s="240">
        <f t="shared" si="26"/>
        <v>274.4479619664254</v>
      </c>
      <c r="DG16" s="240">
        <f t="shared" si="69"/>
        <v>253.39744657528772</v>
      </c>
      <c r="DH16" s="148">
        <f>DG16*EXP(DA16*$BP$36)-DG16</f>
        <v>230.73378138235145</v>
      </c>
      <c r="DI16" s="17">
        <f t="shared" si="53"/>
        <v>622.8022984772449</v>
      </c>
      <c r="DJ16" s="266">
        <f t="shared" si="54"/>
        <v>45.713169847712265</v>
      </c>
      <c r="DK16" s="135">
        <f t="shared" si="27"/>
        <v>577.08912862953264</v>
      </c>
      <c r="DL16" s="244">
        <f>'Mite Immigration'!C24</f>
        <v>5</v>
      </c>
      <c r="DM16" s="137">
        <f t="shared" si="55"/>
        <v>-31.108814805820067</v>
      </c>
      <c r="DN16" s="98">
        <f t="shared" si="63"/>
        <v>-26.108814805820067</v>
      </c>
      <c r="DO16" s="265">
        <f t="shared" si="28"/>
        <v>550.98031382371255</v>
      </c>
      <c r="DP16" s="392">
        <f>EV$32</f>
        <v>0</v>
      </c>
      <c r="DQ16" s="135">
        <f t="shared" si="56"/>
        <v>0</v>
      </c>
      <c r="DR16" s="95">
        <f t="shared" si="29"/>
        <v>550.98031382371255</v>
      </c>
      <c r="DS16" s="29">
        <f t="shared" si="30"/>
        <v>2.2373422514163462E-2</v>
      </c>
      <c r="DT16" s="271">
        <f t="shared" si="31"/>
        <v>40725</v>
      </c>
      <c r="DU16" s="89">
        <f t="shared" si="32"/>
        <v>155.36958670028653</v>
      </c>
      <c r="DV16" s="29">
        <f t="shared" si="33"/>
        <v>3.2368663895893028E-3</v>
      </c>
      <c r="DW16" s="145">
        <f t="shared" si="34"/>
        <v>1.0196129127206304</v>
      </c>
      <c r="DX16" s="494" t="str">
        <f t="shared" si="65"/>
        <v/>
      </c>
      <c r="DY16" s="494" t="str">
        <f t="shared" si="66"/>
        <v/>
      </c>
      <c r="DZ16" s="494"/>
      <c r="EA16">
        <f t="shared" si="67"/>
        <v>0</v>
      </c>
      <c r="EB16" s="17">
        <f t="shared" si="57"/>
        <v>20017.96875</v>
      </c>
      <c r="EC16" s="18">
        <f t="shared" si="58"/>
        <v>4000</v>
      </c>
      <c r="ED16" s="264">
        <f t="shared" si="59"/>
        <v>16017.96875</v>
      </c>
      <c r="EE16" s="264">
        <f t="shared" si="64"/>
        <v>1053.236301369863</v>
      </c>
      <c r="EF16" s="104">
        <f t="shared" si="60"/>
        <v>0.6</v>
      </c>
      <c r="EG16" s="263">
        <f t="shared" si="61"/>
        <v>31.108814805820067</v>
      </c>
      <c r="EI16" s="17">
        <f t="shared" si="62"/>
        <v>230.73378138235145</v>
      </c>
      <c r="EJ16" s="164">
        <f>EV$57</f>
        <v>61.55468241080299</v>
      </c>
      <c r="EK16" s="37">
        <f>EU$59</f>
        <v>8.392176621635844E-2</v>
      </c>
      <c r="EO16" s="2">
        <v>40725</v>
      </c>
      <c r="EP16" s="259">
        <v>43101</v>
      </c>
      <c r="ER16" s="249">
        <v>0.55000000000000004</v>
      </c>
    </row>
    <row r="17" spans="1:163" ht="12.75" customHeight="1" x14ac:dyDescent="0.3">
      <c r="A17" s="54"/>
      <c r="B17" s="400"/>
      <c r="AE17" s="382"/>
      <c r="AF17" s="382"/>
      <c r="AZ17" s="405">
        <f t="shared" si="35"/>
        <v>40739</v>
      </c>
      <c r="BA17" s="59">
        <f t="shared" si="0"/>
        <v>550.98031382371255</v>
      </c>
      <c r="BB17" s="301">
        <f t="shared" si="36"/>
        <v>2.0348229793345128E-2</v>
      </c>
      <c r="BC17" s="233">
        <f t="shared" si="1"/>
        <v>10</v>
      </c>
      <c r="BD17" s="123">
        <f t="shared" si="37"/>
        <v>1.4869418282466083</v>
      </c>
      <c r="BE17" s="4">
        <f t="shared" si="2"/>
        <v>2.0041662909482949E-2</v>
      </c>
      <c r="BF17" s="3">
        <f t="shared" si="3"/>
        <v>0.42836832187730856</v>
      </c>
      <c r="BG17" s="497">
        <v>0.25</v>
      </c>
      <c r="BH17" s="496" t="s">
        <v>313</v>
      </c>
      <c r="BI17" s="496"/>
      <c r="BJ17" s="496"/>
      <c r="BK17" s="496"/>
      <c r="BL17" s="496"/>
      <c r="BN17" s="511"/>
      <c r="BO17" s="271">
        <f t="shared" si="38"/>
        <v>40739</v>
      </c>
      <c r="BP17" s="375">
        <f>IF($AZ$31="d",'Colony Type'!H44,IF($AZ$31="n",'Colony Type'!H72,IF($AZ$31="p",'Colony Type'!H100,IF($AZ$31="a",'Colony Type'!H128,IF($AZ$31="b",'Colony Type'!H156,IF($AZ$31="c",'Colony Type'!H184,IF($AZ$31="r",'Colony Type'!H212,IF($AZ$31="s",'Colony Type'!H240,IF($AZ$31="f",'Colony Type'!H268,"error")))))))))</f>
        <v>25</v>
      </c>
      <c r="BQ17">
        <f t="shared" si="4"/>
        <v>50000</v>
      </c>
      <c r="BR17" s="81">
        <f>IF($AZ$31="d",'Colony Type'!F44,IF($AZ$31="n",'Colony Type'!F72,IF($AZ$31="p",'Colony Type'!F100,IF($AZ$31="a",'Colony Type'!F128,IF($AZ$31="b",'Colony Type'!F156,IF($AZ$31="c",'Colony Type'!F184,IF($AZ$31="r",'Colony Type'!F212,IF($AZ$31="s",'Colony Type'!F240,IF($AZ$31="f",'Colony Type'!F268,"error")))))))))</f>
        <v>5</v>
      </c>
      <c r="BS17" s="17">
        <f t="shared" si="5"/>
        <v>22500</v>
      </c>
      <c r="BT17" s="21">
        <f t="shared" si="6"/>
        <v>0.45</v>
      </c>
      <c r="BU17">
        <f t="shared" si="39"/>
        <v>13500</v>
      </c>
      <c r="BV17" s="18">
        <f t="shared" si="40"/>
        <v>270.56244927801981</v>
      </c>
      <c r="BW17" s="128">
        <f t="shared" si="7"/>
        <v>1125</v>
      </c>
      <c r="BX17" s="141">
        <f t="shared" si="41"/>
        <v>8.9925384810888573</v>
      </c>
      <c r="BY17" s="27">
        <f t="shared" si="8"/>
        <v>20.992538481088857</v>
      </c>
      <c r="BZ17" s="32">
        <f t="shared" si="9"/>
        <v>0.42836832187730856</v>
      </c>
      <c r="CA17" s="130">
        <f t="shared" si="10"/>
        <v>0.57163167812269144</v>
      </c>
      <c r="CB17" s="28">
        <f t="shared" si="11"/>
        <v>314.95780140361597</v>
      </c>
      <c r="CC17" s="255">
        <f t="shared" si="12"/>
        <v>13500</v>
      </c>
      <c r="CD17" s="80">
        <f>IF($AZ$31="d",'Colony Type'!J44,IF($AZ$31="n",'Colony Type'!J72,IF($AZ$31="p",'Colony Type'!J100,IF($AZ$31="a",'Colony Type'!J128,IF($AZ$31="b",'Colony Type'!J156,IF($AZ$31="c",'Colony Type'!J184,IF($AZ$31="r",'Colony Type'!J212,IF($AZ$31="s",'Colony Type'!J212,IF($AZ$31="f",'Colony Type'!J268,"error")))))))))</f>
        <v>0.05</v>
      </c>
      <c r="CE17" s="106">
        <f t="shared" si="42"/>
        <v>3.2000000000000001E-2</v>
      </c>
      <c r="CF17" s="75">
        <f t="shared" si="43"/>
        <v>0.16</v>
      </c>
      <c r="CG17" s="102">
        <f t="shared" si="44"/>
        <v>9.1461068499630635E-2</v>
      </c>
      <c r="CH17" s="72">
        <f t="shared" si="13"/>
        <v>50.393248224578556</v>
      </c>
      <c r="CI17" s="73">
        <f t="shared" si="45"/>
        <v>0.11665103755689481</v>
      </c>
      <c r="CJ17" s="356">
        <f t="shared" si="14"/>
        <v>0.1101043208434076</v>
      </c>
      <c r="CK17" s="357">
        <f t="shared" si="46"/>
        <v>1.0594592170710364</v>
      </c>
      <c r="CL17" s="73">
        <f t="shared" si="15"/>
        <v>23.992538481088857</v>
      </c>
      <c r="CM17" s="355">
        <v>1</v>
      </c>
      <c r="CN17" s="84">
        <f t="shared" si="16"/>
        <v>4.2749999999999995</v>
      </c>
      <c r="CO17" s="78">
        <f t="shared" si="47"/>
        <v>9.8493837450082944E-2</v>
      </c>
      <c r="CP17" s="103">
        <f t="shared" si="48"/>
        <v>0.4801706096230608</v>
      </c>
      <c r="CQ17" s="71">
        <f t="shared" si="49"/>
        <v>13068</v>
      </c>
      <c r="CR17" s="71">
        <f t="shared" si="17"/>
        <v>264.56455317903743</v>
      </c>
      <c r="CS17" s="74">
        <f t="shared" si="18"/>
        <v>2.0245221394171828E-2</v>
      </c>
      <c r="CT17" s="353">
        <f t="shared" si="19"/>
        <v>2.0041662909482949E-2</v>
      </c>
      <c r="CU17" s="355">
        <f t="shared" si="50"/>
        <v>1.0101063658857945</v>
      </c>
      <c r="CV17" s="76">
        <f t="shared" si="20"/>
        <v>0.84</v>
      </c>
      <c r="CW17" s="74">
        <f t="shared" si="21"/>
        <v>20.992538481088857</v>
      </c>
      <c r="CX17" s="354">
        <v>1</v>
      </c>
      <c r="CY17" s="83">
        <f t="shared" si="51"/>
        <v>2.2586249999999999</v>
      </c>
      <c r="CZ17" s="79">
        <f t="shared" si="22"/>
        <v>6.518049768398862E-2</v>
      </c>
      <c r="DA17" s="112">
        <f t="shared" si="23"/>
        <v>4.0306110922268837E-2</v>
      </c>
      <c r="DB17" s="55">
        <f t="shared" si="24"/>
        <v>-5.0125418235442863E-3</v>
      </c>
      <c r="DC17" s="133">
        <f t="shared" si="25"/>
        <v>3.5293569098724553E-2</v>
      </c>
      <c r="DD17" s="133"/>
      <c r="DE17" s="377">
        <f t="shared" si="68"/>
        <v>550.98031382371255</v>
      </c>
      <c r="DF17" s="240">
        <f t="shared" si="26"/>
        <v>385.68621967659874</v>
      </c>
      <c r="DG17" s="240">
        <f t="shared" si="69"/>
        <v>353.31875091602814</v>
      </c>
      <c r="DH17" s="148">
        <f t="shared" ref="DH17:DH28" si="70">DG17*EXP(DA17*$BP$36)-DG17</f>
        <v>298.88655378397056</v>
      </c>
      <c r="DI17" s="17">
        <f t="shared" si="53"/>
        <v>849.86686760768316</v>
      </c>
      <c r="DJ17" s="266">
        <f t="shared" si="54"/>
        <v>62.379520052963812</v>
      </c>
      <c r="DK17" s="135">
        <f t="shared" si="27"/>
        <v>787.48734755471935</v>
      </c>
      <c r="DL17" s="244">
        <f>'Mite Immigration'!C25</f>
        <v>10</v>
      </c>
      <c r="DM17" s="137">
        <f t="shared" si="55"/>
        <v>-46.670501549668842</v>
      </c>
      <c r="DN17" s="98">
        <f t="shared" si="63"/>
        <v>-36.670501549668842</v>
      </c>
      <c r="DO17" s="265">
        <f t="shared" si="28"/>
        <v>750.81684600505048</v>
      </c>
      <c r="DP17" s="392">
        <f>EW$32</f>
        <v>0</v>
      </c>
      <c r="DQ17" s="135">
        <f t="shared" si="56"/>
        <v>0</v>
      </c>
      <c r="DR17" s="95">
        <f t="shared" si="29"/>
        <v>750.81684600505048</v>
      </c>
      <c r="DS17" s="29">
        <f t="shared" si="30"/>
        <v>2.0348229793345128E-2</v>
      </c>
      <c r="DT17" s="271">
        <f t="shared" si="31"/>
        <v>40739</v>
      </c>
      <c r="DU17" s="89">
        <f t="shared" si="32"/>
        <v>236.02251242009658</v>
      </c>
      <c r="DV17" s="29">
        <f t="shared" si="33"/>
        <v>4.7204502484019311E-3</v>
      </c>
      <c r="DW17" s="145">
        <f t="shared" si="34"/>
        <v>1.4869418282466083</v>
      </c>
      <c r="DX17" s="494" t="str">
        <f t="shared" si="65"/>
        <v/>
      </c>
      <c r="DY17" s="494" t="str">
        <f t="shared" si="66"/>
        <v/>
      </c>
      <c r="DZ17" s="494"/>
      <c r="EA17">
        <f t="shared" si="67"/>
        <v>0</v>
      </c>
      <c r="EB17" s="17">
        <f t="shared" si="57"/>
        <v>18478.125</v>
      </c>
      <c r="EC17" s="18">
        <f t="shared" si="58"/>
        <v>2000</v>
      </c>
      <c r="ED17" s="264">
        <f t="shared" si="59"/>
        <v>16478.125</v>
      </c>
      <c r="EE17" s="264">
        <f t="shared" si="64"/>
        <v>1083.4931506849314</v>
      </c>
      <c r="EF17" s="104">
        <f t="shared" si="60"/>
        <v>0.6</v>
      </c>
      <c r="EG17" s="263">
        <f t="shared" si="61"/>
        <v>46.670501549668842</v>
      </c>
      <c r="EI17" s="17">
        <f t="shared" si="62"/>
        <v>298.88655378397056</v>
      </c>
      <c r="EJ17" s="164">
        <f>EW$57</f>
        <v>97.174272400292153</v>
      </c>
      <c r="EK17" s="37">
        <f>EV$59</f>
        <v>9.2317226421083989E-2</v>
      </c>
      <c r="EO17" s="2">
        <v>40739</v>
      </c>
      <c r="EP17" s="259">
        <v>43115</v>
      </c>
      <c r="ER17" s="249">
        <v>0.56000000000000005</v>
      </c>
      <c r="ES17">
        <v>11.654999999999999</v>
      </c>
    </row>
    <row r="18" spans="1:163" ht="12.75" customHeight="1" x14ac:dyDescent="0.3">
      <c r="A18" s="54"/>
      <c r="B18" s="400"/>
      <c r="AE18" s="382"/>
      <c r="AF18" s="382"/>
      <c r="AZ18" s="405">
        <f t="shared" si="35"/>
        <v>40756</v>
      </c>
      <c r="BA18" s="59">
        <f t="shared" si="0"/>
        <v>750.81684600505048</v>
      </c>
      <c r="BB18" s="301">
        <f t="shared" si="36"/>
        <v>1.9571608152245738E-2</v>
      </c>
      <c r="BC18" s="233">
        <f t="shared" si="1"/>
        <v>15</v>
      </c>
      <c r="BD18" s="123">
        <f t="shared" si="37"/>
        <v>2.0924374099709273</v>
      </c>
      <c r="BE18" s="4">
        <f t="shared" si="2"/>
        <v>2.9460273576935592E-2</v>
      </c>
      <c r="BF18" s="3">
        <f t="shared" si="3"/>
        <v>0.44236210732993247</v>
      </c>
      <c r="BG18" s="498"/>
      <c r="BH18" s="496"/>
      <c r="BI18" s="496"/>
      <c r="BJ18" s="496"/>
      <c r="BK18" s="496"/>
      <c r="BL18" s="496"/>
      <c r="BN18" s="511"/>
      <c r="BO18" s="271">
        <f t="shared" si="38"/>
        <v>40756</v>
      </c>
      <c r="BP18" s="375">
        <f>IF($AZ$31="d",'Colony Type'!H45,IF($AZ$31="n",'Colony Type'!H73,IF($AZ$31="p",'Colony Type'!H101,IF($AZ$31="a",'Colony Type'!H129,IF($AZ$31="b",'Colony Type'!H157,IF($AZ$31="c",'Colony Type'!H185,IF($AZ$31="r",'Colony Type'!H213,IF($AZ$31="s",'Colony Type'!H241,IF($AZ$31="f",'Colony Type'!H269,"error")))))))))</f>
        <v>25</v>
      </c>
      <c r="BQ18">
        <f t="shared" si="4"/>
        <v>50000</v>
      </c>
      <c r="BR18" s="81">
        <f>IF($AZ$31="d",'Colony Type'!F45,IF($AZ$31="n",'Colony Type'!F73,IF($AZ$31="p",'Colony Type'!F101,IF($AZ$31="a",'Colony Type'!F129,IF($AZ$31="b",'Colony Type'!F157,IF($AZ$31="c",'Colony Type'!F185,IF($AZ$31="r",'Colony Type'!F213,IF($AZ$31="s",'Colony Type'!F241,IF($AZ$31="f",'Colony Type'!F269,"error")))))))))</f>
        <v>4.5</v>
      </c>
      <c r="BS18" s="17">
        <f t="shared" si="5"/>
        <v>20250</v>
      </c>
      <c r="BT18" s="21">
        <f t="shared" si="6"/>
        <v>0.40500000000000003</v>
      </c>
      <c r="BU18">
        <f t="shared" si="39"/>
        <v>12150</v>
      </c>
      <c r="BV18" s="18">
        <f t="shared" si="40"/>
        <v>357.94232395976746</v>
      </c>
      <c r="BW18" s="18">
        <f t="shared" si="7"/>
        <v>1012.5</v>
      </c>
      <c r="BX18" s="141">
        <f t="shared" si="41"/>
        <v>9.5193410593779895</v>
      </c>
      <c r="BY18" s="27">
        <f t="shared" si="8"/>
        <v>21.519341059377989</v>
      </c>
      <c r="BZ18" s="32">
        <f t="shared" si="9"/>
        <v>0.44236210732993247</v>
      </c>
      <c r="CA18" s="130">
        <f t="shared" si="10"/>
        <v>0.55763789267006758</v>
      </c>
      <c r="CB18" s="28">
        <f t="shared" si="11"/>
        <v>418.68392378744301</v>
      </c>
      <c r="CC18" s="255">
        <f t="shared" si="12"/>
        <v>12150</v>
      </c>
      <c r="CD18" s="80">
        <f>IF($AZ$31="d",'Colony Type'!J45,IF($AZ$31="n",'Colony Type'!J73,IF($AZ$31="p",'Colony Type'!J101,IF($AZ$31="a",'Colony Type'!J129,IF($AZ$31="b",'Colony Type'!J157,IF($AZ$31="c",'Colony Type'!J185,IF($AZ$31="r",'Colony Type'!J213,IF($AZ$31="s",'Colony Type'!J213,IF($AZ$31="f",'Colony Type'!J269,"error")))))))))</f>
        <v>0.05</v>
      </c>
      <c r="CE18" s="106">
        <f t="shared" si="42"/>
        <v>3.2000000000000001E-2</v>
      </c>
      <c r="CF18" s="75">
        <f t="shared" si="43"/>
        <v>0.16</v>
      </c>
      <c r="CG18" s="102">
        <f t="shared" si="44"/>
        <v>8.9222062827210818E-2</v>
      </c>
      <c r="CH18" s="72">
        <f t="shared" si="13"/>
        <v>66.989427805990886</v>
      </c>
      <c r="CI18" s="73">
        <f t="shared" si="45"/>
        <v>0.17229791102363912</v>
      </c>
      <c r="CJ18" s="356">
        <f t="shared" si="14"/>
        <v>0.15827162434933406</v>
      </c>
      <c r="CK18" s="357">
        <f t="shared" si="46"/>
        <v>1.0886216132043134</v>
      </c>
      <c r="CL18" s="73">
        <f t="shared" si="15"/>
        <v>24.519341059377989</v>
      </c>
      <c r="CM18" s="355">
        <v>1</v>
      </c>
      <c r="CN18" s="84">
        <f t="shared" si="16"/>
        <v>4.2749999999999995</v>
      </c>
      <c r="CO18" s="78">
        <f t="shared" si="47"/>
        <v>9.8493837450082944E-2</v>
      </c>
      <c r="CP18" s="103">
        <f t="shared" si="48"/>
        <v>0.46841582984285679</v>
      </c>
      <c r="CQ18" s="71">
        <f t="shared" si="49"/>
        <v>11761.199999999999</v>
      </c>
      <c r="CR18" s="71">
        <f t="shared" si="17"/>
        <v>351.69449598145212</v>
      </c>
      <c r="CS18" s="74">
        <f t="shared" si="18"/>
        <v>2.9902943235507615E-2</v>
      </c>
      <c r="CT18" s="353">
        <f t="shared" si="19"/>
        <v>2.9460273576935592E-2</v>
      </c>
      <c r="CU18" s="355">
        <f t="shared" si="50"/>
        <v>1.0149915331195252</v>
      </c>
      <c r="CV18" s="76">
        <f t="shared" si="20"/>
        <v>0.84</v>
      </c>
      <c r="CW18" s="74">
        <f t="shared" si="21"/>
        <v>21.519341059377989</v>
      </c>
      <c r="CX18" s="354">
        <v>1</v>
      </c>
      <c r="CY18" s="83">
        <f t="shared" si="51"/>
        <v>2.2586249999999999</v>
      </c>
      <c r="CZ18" s="79">
        <f t="shared" si="22"/>
        <v>6.518049768398862E-2</v>
      </c>
      <c r="DA18" s="112">
        <f t="shared" si="23"/>
        <v>3.931940026528033E-2</v>
      </c>
      <c r="DB18" s="55">
        <f t="shared" si="24"/>
        <v>-5.0125418235442863E-3</v>
      </c>
      <c r="DC18" s="133">
        <f t="shared" si="25"/>
        <v>3.4306858441736046E-2</v>
      </c>
      <c r="DD18" s="133"/>
      <c r="DE18" s="377">
        <f t="shared" si="68"/>
        <v>750.81684600505048</v>
      </c>
      <c r="DF18" s="240">
        <f t="shared" si="26"/>
        <v>525.57179220353532</v>
      </c>
      <c r="DG18" s="240">
        <f t="shared" si="69"/>
        <v>477.05246206214667</v>
      </c>
      <c r="DH18" s="148">
        <f t="shared" si="70"/>
        <v>390.44190101016602</v>
      </c>
      <c r="DI18" s="17">
        <f t="shared" si="53"/>
        <v>1141.2587470152166</v>
      </c>
      <c r="DJ18" s="266">
        <f t="shared" si="54"/>
        <v>83.767441241066763</v>
      </c>
      <c r="DK18" s="135">
        <f t="shared" si="27"/>
        <v>1057.4913057741499</v>
      </c>
      <c r="DL18" s="244">
        <f>'Mite Immigration'!C26</f>
        <v>15</v>
      </c>
      <c r="DM18" s="137">
        <f t="shared" si="55"/>
        <v>-61.371936533522295</v>
      </c>
      <c r="DN18" s="98">
        <f t="shared" si="63"/>
        <v>-46.371936533522295</v>
      </c>
      <c r="DO18" s="265">
        <f t="shared" si="28"/>
        <v>1011.1193692406275</v>
      </c>
      <c r="DP18" s="392">
        <f>EX$32</f>
        <v>0</v>
      </c>
      <c r="DQ18" s="135">
        <f t="shared" si="56"/>
        <v>0</v>
      </c>
      <c r="DR18" s="95">
        <f t="shared" si="29"/>
        <v>1011.1193692406275</v>
      </c>
      <c r="DS18" s="29">
        <f t="shared" si="30"/>
        <v>1.9571608152245738E-2</v>
      </c>
      <c r="DT18" s="271">
        <f t="shared" si="31"/>
        <v>40756</v>
      </c>
      <c r="DU18" s="89">
        <f t="shared" si="32"/>
        <v>332.13292221760753</v>
      </c>
      <c r="DV18" s="29">
        <f t="shared" si="33"/>
        <v>6.6426584443521506E-3</v>
      </c>
      <c r="DW18" s="145">
        <f t="shared" si="34"/>
        <v>2.0924374099709273</v>
      </c>
      <c r="DX18" s="494" t="str">
        <f t="shared" si="65"/>
        <v/>
      </c>
      <c r="DY18" s="494" t="str">
        <f t="shared" si="66"/>
        <v/>
      </c>
      <c r="DZ18" s="494"/>
      <c r="EA18">
        <f t="shared" si="67"/>
        <v>0</v>
      </c>
      <c r="EB18" s="17">
        <f t="shared" si="57"/>
        <v>15398.4375</v>
      </c>
      <c r="EC18" s="18">
        <f t="shared" si="58"/>
        <v>0</v>
      </c>
      <c r="ED18" s="264">
        <f t="shared" si="59"/>
        <v>15398.4375</v>
      </c>
      <c r="EE18" s="264">
        <f t="shared" si="64"/>
        <v>1012.5</v>
      </c>
      <c r="EF18" s="104">
        <f t="shared" si="60"/>
        <v>0.6</v>
      </c>
      <c r="EG18" s="263">
        <f t="shared" si="61"/>
        <v>61.371936533522295</v>
      </c>
      <c r="EI18" s="17">
        <f t="shared" si="62"/>
        <v>390.44190101016602</v>
      </c>
      <c r="EJ18" s="164">
        <f>EX$57</f>
        <v>148.944810183085</v>
      </c>
      <c r="EK18" s="37">
        <f>EW$59</f>
        <v>0.1059276014264831</v>
      </c>
      <c r="EO18" s="2">
        <v>40756</v>
      </c>
      <c r="EP18" s="259">
        <v>43132</v>
      </c>
      <c r="ER18" s="249">
        <v>0.56000000000000005</v>
      </c>
    </row>
    <row r="19" spans="1:163" ht="12.75" customHeight="1" x14ac:dyDescent="0.3">
      <c r="A19" s="54"/>
      <c r="B19" s="400"/>
      <c r="AE19" s="382"/>
      <c r="AF19" s="382"/>
      <c r="AZ19" s="405">
        <f t="shared" si="35"/>
        <v>40770</v>
      </c>
      <c r="BA19" s="59">
        <f t="shared" si="0"/>
        <v>1011.1193692406275</v>
      </c>
      <c r="BB19" s="301">
        <f t="shared" si="36"/>
        <v>-0.17907711556322403</v>
      </c>
      <c r="BC19" s="233">
        <f t="shared" si="1"/>
        <v>30</v>
      </c>
      <c r="BD19" s="123">
        <f t="shared" si="37"/>
        <v>3.1926763787235175</v>
      </c>
      <c r="BE19" s="4">
        <f t="shared" si="2"/>
        <v>4.4394269225450533E-2</v>
      </c>
      <c r="BF19" s="3">
        <f t="shared" si="3"/>
        <v>0.44105687076243161</v>
      </c>
      <c r="BG19" s="499" t="s">
        <v>377</v>
      </c>
      <c r="BH19" s="496" t="s">
        <v>144</v>
      </c>
      <c r="BI19" s="496"/>
      <c r="BJ19" s="496"/>
      <c r="BK19" s="496"/>
      <c r="BL19" s="496"/>
      <c r="BN19" s="511"/>
      <c r="BO19" s="271">
        <f t="shared" si="38"/>
        <v>40770</v>
      </c>
      <c r="BP19" s="375">
        <f>IF($AZ$31="d",'Colony Type'!H46,IF($AZ$31="n",'Colony Type'!H74,IF($AZ$31="p",'Colony Type'!H102,IF($AZ$31="a",'Colony Type'!H130,IF($AZ$31="b",'Colony Type'!H158,IF($AZ$31="c",'Colony Type'!H186,IF($AZ$31="r",'Colony Type'!H214,IF($AZ$31="s",'Colony Type'!H242,IF($AZ$31="f",'Colony Type'!H270,"error")))))))))</f>
        <v>22</v>
      </c>
      <c r="BQ19">
        <f t="shared" si="4"/>
        <v>44000</v>
      </c>
      <c r="BR19" s="81">
        <f>IF($AZ$31="d",'Colony Type'!F46,IF($AZ$31="n",'Colony Type'!F74,IF($AZ$31="p",'Colony Type'!F102,IF($AZ$31="a",'Colony Type'!F130,IF($AZ$31="b",'Colony Type'!F158,IF($AZ$31="c",'Colony Type'!F186,IF($AZ$31="r",'Colony Type'!F214,IF($AZ$31="s",'Colony Type'!F242,IF($AZ$31="f",'Colony Type'!F270,"error")))))))))</f>
        <v>4</v>
      </c>
      <c r="BS19" s="17">
        <f t="shared" si="5"/>
        <v>18000</v>
      </c>
      <c r="BT19" s="21">
        <f t="shared" si="6"/>
        <v>0.40909090909090912</v>
      </c>
      <c r="BU19">
        <f t="shared" si="39"/>
        <v>10800</v>
      </c>
      <c r="BV19" s="18">
        <f t="shared" si="40"/>
        <v>479.45810763486577</v>
      </c>
      <c r="BW19" s="18">
        <f t="shared" si="7"/>
        <v>900</v>
      </c>
      <c r="BX19" s="141">
        <f t="shared" si="41"/>
        <v>9.4690893801104821</v>
      </c>
      <c r="BY19" s="27">
        <f t="shared" si="8"/>
        <v>21.469089380110482</v>
      </c>
      <c r="BZ19" s="32">
        <f t="shared" si="9"/>
        <v>0.44105687076243161</v>
      </c>
      <c r="CA19" s="130">
        <f t="shared" si="10"/>
        <v>0.55894312923756839</v>
      </c>
      <c r="CB19" s="28">
        <f t="shared" si="11"/>
        <v>565.1582242760727</v>
      </c>
      <c r="CC19" s="255">
        <f t="shared" si="12"/>
        <v>10800</v>
      </c>
      <c r="CD19" s="80">
        <f>IF($AZ$31="d",'Colony Type'!J46,IF($AZ$31="n",'Colony Type'!J74,IF($AZ$31="p",'Colony Type'!J102,IF($AZ$31="a",'Colony Type'!J130,IF($AZ$31="b",'Colony Type'!J158,IF($AZ$31="c",'Colony Type'!J186,IF($AZ$31="r",'Colony Type'!J214,IF($AZ$31="s",'Colony Type'!J214,IF($AZ$31="f",'Colony Type'!J270,"error")))))))))</f>
        <v>0.05</v>
      </c>
      <c r="CE19" s="106">
        <f t="shared" si="42"/>
        <v>3.2000000000000001E-2</v>
      </c>
      <c r="CF19" s="75">
        <f t="shared" si="43"/>
        <v>0.16</v>
      </c>
      <c r="CG19" s="102">
        <f t="shared" si="44"/>
        <v>8.9430900678010947E-2</v>
      </c>
      <c r="CH19" s="72">
        <f t="shared" si="13"/>
        <v>90.425315884171638</v>
      </c>
      <c r="CI19" s="73">
        <f t="shared" si="45"/>
        <v>0.26164732605373736</v>
      </c>
      <c r="CJ19" s="356">
        <f t="shared" si="14"/>
        <v>0.23021754194190225</v>
      </c>
      <c r="CK19" s="357">
        <f t="shared" si="46"/>
        <v>1.1365221079450443</v>
      </c>
      <c r="CL19" s="73">
        <f t="shared" si="15"/>
        <v>24.469089380110482</v>
      </c>
      <c r="CM19" s="355">
        <v>1</v>
      </c>
      <c r="CN19" s="84">
        <f t="shared" si="16"/>
        <v>4.2749999999999995</v>
      </c>
      <c r="CO19" s="78">
        <f t="shared" si="47"/>
        <v>9.8493837450082944E-2</v>
      </c>
      <c r="CP19" s="103">
        <f t="shared" si="48"/>
        <v>0.46951222855955743</v>
      </c>
      <c r="CQ19" s="71">
        <f t="shared" si="49"/>
        <v>10454.4</v>
      </c>
      <c r="CR19" s="71">
        <f t="shared" si="17"/>
        <v>474.73290839190105</v>
      </c>
      <c r="CS19" s="74">
        <f t="shared" si="18"/>
        <v>4.5409866505194088E-2</v>
      </c>
      <c r="CT19" s="353">
        <f t="shared" si="19"/>
        <v>4.4394269225450533E-2</v>
      </c>
      <c r="CU19" s="355">
        <f t="shared" si="50"/>
        <v>1.022853725125332</v>
      </c>
      <c r="CV19" s="76">
        <f t="shared" si="20"/>
        <v>0.84</v>
      </c>
      <c r="CW19" s="74">
        <f t="shared" si="21"/>
        <v>21.469089380110482</v>
      </c>
      <c r="CX19" s="354">
        <v>1</v>
      </c>
      <c r="CY19" s="83">
        <f t="shared" si="51"/>
        <v>2.2586249999999999</v>
      </c>
      <c r="CZ19" s="79">
        <f t="shared" si="22"/>
        <v>6.518049768398862E-2</v>
      </c>
      <c r="DA19" s="112">
        <f t="shared" si="23"/>
        <v>3.9411433320625092E-2</v>
      </c>
      <c r="DB19" s="55">
        <f t="shared" si="24"/>
        <v>-5.0125418235442863E-3</v>
      </c>
      <c r="DC19" s="133">
        <f t="shared" si="25"/>
        <v>3.4398891497080808E-2</v>
      </c>
      <c r="DD19" s="133"/>
      <c r="DE19" s="377">
        <f t="shared" si="68"/>
        <v>1011.1193692406275</v>
      </c>
      <c r="DF19" s="240">
        <f t="shared" si="26"/>
        <v>707.7835584684392</v>
      </c>
      <c r="DG19" s="240">
        <f t="shared" si="69"/>
        <v>632.80974379077645</v>
      </c>
      <c r="DH19" s="148">
        <f t="shared" si="70"/>
        <v>519.53266773561711</v>
      </c>
      <c r="DI19" s="17">
        <f t="shared" si="53"/>
        <v>1530.6520369762447</v>
      </c>
      <c r="DJ19" s="266">
        <f t="shared" si="54"/>
        <v>112.34858431820385</v>
      </c>
      <c r="DK19" s="135">
        <f t="shared" si="27"/>
        <v>1418.3034526580409</v>
      </c>
      <c r="DL19" s="244">
        <f>'Mite Immigration'!C27</f>
        <v>30</v>
      </c>
      <c r="DM19" s="137">
        <f t="shared" si="55"/>
        <v>-120.76583462912662</v>
      </c>
      <c r="DN19" s="98">
        <f t="shared" si="63"/>
        <v>-90.765834629126616</v>
      </c>
      <c r="DO19" s="265">
        <f t="shared" si="28"/>
        <v>1327.5376180289143</v>
      </c>
      <c r="DP19" s="392">
        <f>EY$32</f>
        <v>0.95</v>
      </c>
      <c r="DQ19" s="135">
        <f t="shared" si="56"/>
        <v>1261.1607371274686</v>
      </c>
      <c r="DR19" s="95">
        <f t="shared" si="29"/>
        <v>66.376880901445702</v>
      </c>
      <c r="DS19" s="29">
        <f t="shared" si="30"/>
        <v>-0.17907711556322403</v>
      </c>
      <c r="DT19" s="271">
        <f t="shared" si="31"/>
        <v>40770</v>
      </c>
      <c r="DU19" s="89">
        <f t="shared" si="32"/>
        <v>445.96114496455482</v>
      </c>
      <c r="DV19" s="29">
        <f t="shared" si="33"/>
        <v>1.0135480567376245E-2</v>
      </c>
      <c r="DW19" s="145">
        <f t="shared" si="34"/>
        <v>3.1926763787235175</v>
      </c>
      <c r="DX19" s="494" t="str">
        <f t="shared" si="65"/>
        <v/>
      </c>
      <c r="DY19" s="494" t="str">
        <f t="shared" si="66"/>
        <v/>
      </c>
      <c r="DZ19" s="494"/>
      <c r="EA19">
        <f t="shared" si="67"/>
        <v>0</v>
      </c>
      <c r="EB19" s="17">
        <f t="shared" si="57"/>
        <v>13858.59375</v>
      </c>
      <c r="EC19" s="18">
        <f t="shared" si="58"/>
        <v>-6000</v>
      </c>
      <c r="ED19" s="264">
        <f t="shared" si="59"/>
        <v>19858.59375</v>
      </c>
      <c r="EE19" s="264">
        <f t="shared" si="64"/>
        <v>1305.7705479452054</v>
      </c>
      <c r="EF19" s="104">
        <f t="shared" si="60"/>
        <v>0.6</v>
      </c>
      <c r="EG19" s="263">
        <f t="shared" si="61"/>
        <v>120.76583462912662</v>
      </c>
      <c r="EI19" s="17">
        <f t="shared" si="62"/>
        <v>519.53266773561711</v>
      </c>
      <c r="EJ19" s="164">
        <f>EY$57</f>
        <v>222.0592313302007</v>
      </c>
      <c r="EK19" s="37">
        <f>EX$59</f>
        <v>0.11998507040491586</v>
      </c>
      <c r="EM19" s="37"/>
      <c r="EO19" s="2">
        <v>40770</v>
      </c>
      <c r="EP19" s="259">
        <v>43146</v>
      </c>
      <c r="ES19">
        <v>13.23</v>
      </c>
    </row>
    <row r="20" spans="1:163" ht="12.75" customHeight="1" x14ac:dyDescent="0.3">
      <c r="A20" s="54"/>
      <c r="B20" s="575" t="s">
        <v>352</v>
      </c>
      <c r="C20" s="576"/>
      <c r="D20" s="125"/>
      <c r="E20" s="125"/>
      <c r="F20" s="125"/>
      <c r="G20" s="125"/>
      <c r="H20" s="125"/>
      <c r="I20" s="125">
        <v>0.9</v>
      </c>
      <c r="J20" s="125"/>
      <c r="K20" s="125"/>
      <c r="L20" s="125"/>
      <c r="M20" s="125"/>
      <c r="N20" s="125"/>
      <c r="O20" s="125"/>
      <c r="P20" s="125"/>
      <c r="Q20" s="125"/>
      <c r="R20" s="125">
        <v>0.95</v>
      </c>
      <c r="S20" s="125"/>
      <c r="T20" s="125"/>
      <c r="U20" s="125"/>
      <c r="V20" s="125"/>
      <c r="W20" s="125"/>
      <c r="X20" s="125"/>
      <c r="Y20" s="125"/>
      <c r="Z20" s="173"/>
      <c r="AA20" s="404"/>
      <c r="AB20" s="574"/>
      <c r="AC20" s="574"/>
      <c r="AE20" s="382"/>
      <c r="AF20" s="382"/>
      <c r="AZ20" s="405">
        <f t="shared" si="35"/>
        <v>40787</v>
      </c>
      <c r="BA20" s="59">
        <f t="shared" si="0"/>
        <v>66.376880901445702</v>
      </c>
      <c r="BB20" s="301">
        <f t="shared" si="36"/>
        <v>4.0260254677866425E-2</v>
      </c>
      <c r="BC20" s="233">
        <f t="shared" si="1"/>
        <v>40</v>
      </c>
      <c r="BD20" s="123">
        <f t="shared" si="37"/>
        <v>0.24174330683914425</v>
      </c>
      <c r="BE20" s="4">
        <f t="shared" si="2"/>
        <v>3.7268079372246854E-3</v>
      </c>
      <c r="BF20" s="3">
        <f t="shared" si="3"/>
        <v>0.43935003028936037</v>
      </c>
      <c r="BG20" s="498"/>
      <c r="BH20" s="496"/>
      <c r="BI20" s="496"/>
      <c r="BJ20" s="496"/>
      <c r="BK20" s="496"/>
      <c r="BL20" s="496"/>
      <c r="BN20" s="511"/>
      <c r="BO20" s="271">
        <f t="shared" si="38"/>
        <v>40787</v>
      </c>
      <c r="BP20" s="375">
        <f>IF($AZ$31="d",'Colony Type'!H47,IF($AZ$31="n",'Colony Type'!H75,IF($AZ$31="p",'Colony Type'!H103,IF($AZ$31="a",'Colony Type'!H131,IF($AZ$31="b",'Colony Type'!H159,IF($AZ$31="c",'Colony Type'!H187,IF($AZ$31="r",'Colony Type'!H215,IF($AZ$31="s",'Colony Type'!H243,IF($AZ$31="f",'Colony Type'!H271,"error")))))))))</f>
        <v>19</v>
      </c>
      <c r="BQ20">
        <f t="shared" si="4"/>
        <v>38000</v>
      </c>
      <c r="BR20" s="81">
        <f>IF($AZ$31="d",'Colony Type'!F47,IF($AZ$31="n",'Colony Type'!F75,IF($AZ$31="p",'Colony Type'!F103,IF($AZ$31="a",'Colony Type'!F131,IF($AZ$31="b",'Colony Type'!F159,IF($AZ$31="c",'Colony Type'!F187,IF($AZ$31="r",'Colony Type'!F215,IF($AZ$31="s",'Colony Type'!F243,IF($AZ$31="f",'Colony Type'!F271,"error")))))))))</f>
        <v>3.5</v>
      </c>
      <c r="BS20" s="17">
        <f t="shared" si="5"/>
        <v>15750</v>
      </c>
      <c r="BT20" s="21">
        <f t="shared" si="6"/>
        <v>0.41447368421052633</v>
      </c>
      <c r="BU20">
        <f t="shared" si="39"/>
        <v>9450</v>
      </c>
      <c r="BV20" s="18">
        <f t="shared" si="40"/>
        <v>35.21833500677328</v>
      </c>
      <c r="BW20" s="18">
        <f t="shared" si="7"/>
        <v>787.5</v>
      </c>
      <c r="BX20" s="141">
        <f t="shared" si="41"/>
        <v>9.4037289722737185</v>
      </c>
      <c r="BY20" s="27">
        <f t="shared" si="8"/>
        <v>21.403728972273719</v>
      </c>
      <c r="BZ20" s="32">
        <f t="shared" si="9"/>
        <v>0.43935003028936037</v>
      </c>
      <c r="CA20" s="130">
        <f t="shared" si="10"/>
        <v>0.56064996971063963</v>
      </c>
      <c r="CB20" s="28">
        <f t="shared" si="11"/>
        <v>37.214196266882269</v>
      </c>
      <c r="CC20" s="255">
        <f t="shared" si="12"/>
        <v>9450</v>
      </c>
      <c r="CD20" s="80">
        <f>IF($AZ$31="d",'Colony Type'!J47,IF($AZ$31="n",'Colony Type'!J75,IF($AZ$31="p",'Colony Type'!J103,IF($AZ$31="a",'Colony Type'!J131,IF($AZ$31="b",'Colony Type'!J159,IF($AZ$31="c",'Colony Type'!J187,IF($AZ$31="r",'Colony Type'!J215,IF($AZ$31="s",'Colony Type'!J215,IF($AZ$31="f",'Colony Type'!J271,"error")))))))))</f>
        <v>0.02</v>
      </c>
      <c r="CE20" s="106">
        <f t="shared" si="42"/>
        <v>1.2800000000000001E-2</v>
      </c>
      <c r="CF20" s="75">
        <f t="shared" si="43"/>
        <v>6.4000000000000001E-2</v>
      </c>
      <c r="CG20" s="102">
        <f t="shared" si="44"/>
        <v>3.5881598061480939E-2</v>
      </c>
      <c r="CH20" s="72">
        <f t="shared" si="13"/>
        <v>2.3817085610804654</v>
      </c>
      <c r="CI20" s="73">
        <f t="shared" si="45"/>
        <v>1.9690050934858344E-2</v>
      </c>
      <c r="CJ20" s="356">
        <f t="shared" si="14"/>
        <v>1.9497467942864999E-2</v>
      </c>
      <c r="CK20" s="357">
        <f t="shared" si="46"/>
        <v>1.0098773334341509</v>
      </c>
      <c r="CL20" s="73">
        <f t="shared" si="15"/>
        <v>24.403728972273719</v>
      </c>
      <c r="CM20" s="355">
        <v>1</v>
      </c>
      <c r="CN20" s="84">
        <f t="shared" si="16"/>
        <v>4.2749999999999995</v>
      </c>
      <c r="CO20" s="78">
        <f t="shared" si="47"/>
        <v>9.8493837450082944E-2</v>
      </c>
      <c r="CP20" s="103">
        <f t="shared" si="48"/>
        <v>0.52476837164915868</v>
      </c>
      <c r="CQ20" s="71">
        <f t="shared" si="49"/>
        <v>9329.0399999999991</v>
      </c>
      <c r="CR20" s="71">
        <f t="shared" si="17"/>
        <v>34.832487705801803</v>
      </c>
      <c r="CS20" s="74">
        <f t="shared" si="18"/>
        <v>3.7337697882956667E-3</v>
      </c>
      <c r="CT20" s="353">
        <f t="shared" si="19"/>
        <v>3.7268079372246854E-3</v>
      </c>
      <c r="CU20" s="355">
        <f t="shared" si="50"/>
        <v>1.0015992913721354</v>
      </c>
      <c r="CV20" s="76">
        <f t="shared" si="20"/>
        <v>0.93599999999999994</v>
      </c>
      <c r="CW20" s="74">
        <f t="shared" si="21"/>
        <v>21.403728972273719</v>
      </c>
      <c r="CX20" s="354">
        <v>1</v>
      </c>
      <c r="CY20" s="83">
        <f t="shared" si="51"/>
        <v>2.2586249999999999</v>
      </c>
      <c r="CZ20" s="79">
        <f t="shared" si="22"/>
        <v>6.518049768398862E-2</v>
      </c>
      <c r="DA20" s="112">
        <f t="shared" si="23"/>
        <v>3.7738779919825181E-2</v>
      </c>
      <c r="DB20" s="55">
        <f t="shared" si="24"/>
        <v>-5.0125418235442863E-3</v>
      </c>
      <c r="DC20" s="133">
        <f t="shared" si="25"/>
        <v>3.2726238096280898E-2</v>
      </c>
      <c r="DD20" s="133"/>
      <c r="DE20" s="377">
        <f t="shared" si="68"/>
        <v>66.376880901445702</v>
      </c>
      <c r="DF20" s="240">
        <f t="shared" si="26"/>
        <v>46.463816631011987</v>
      </c>
      <c r="DG20" s="240">
        <f t="shared" si="69"/>
        <v>40.888852321258909</v>
      </c>
      <c r="DH20" s="148">
        <f t="shared" si="70"/>
        <v>31.699277772269298</v>
      </c>
      <c r="DI20" s="17">
        <f t="shared" si="53"/>
        <v>98.076158673715</v>
      </c>
      <c r="DJ20" s="266">
        <f t="shared" si="54"/>
        <v>7.1987083387851669</v>
      </c>
      <c r="DK20" s="135">
        <f t="shared" si="27"/>
        <v>90.877450334929833</v>
      </c>
      <c r="DL20" s="244">
        <f>'Mite Immigration'!C28</f>
        <v>40</v>
      </c>
      <c r="DM20" s="137">
        <f t="shared" si="55"/>
        <v>-8.4351146707801394</v>
      </c>
      <c r="DN20" s="98">
        <f t="shared" si="63"/>
        <v>31.564885329219862</v>
      </c>
      <c r="DO20" s="265">
        <f t="shared" si="28"/>
        <v>122.4423356641497</v>
      </c>
      <c r="DP20" s="392">
        <f>EZ$32</f>
        <v>0</v>
      </c>
      <c r="DQ20" s="135">
        <f t="shared" si="56"/>
        <v>0</v>
      </c>
      <c r="DR20" s="95">
        <f t="shared" si="29"/>
        <v>122.4423356641497</v>
      </c>
      <c r="DS20" s="29">
        <f t="shared" si="30"/>
        <v>4.0260254677866425E-2</v>
      </c>
      <c r="DT20" s="271">
        <f t="shared" si="31"/>
        <v>40787</v>
      </c>
      <c r="DU20" s="89">
        <f t="shared" si="32"/>
        <v>29.162684634563433</v>
      </c>
      <c r="DV20" s="29">
        <f t="shared" si="33"/>
        <v>7.6743906933061663E-4</v>
      </c>
      <c r="DW20" s="145">
        <f t="shared" si="34"/>
        <v>0.24174330683914425</v>
      </c>
      <c r="DX20" s="494" t="str">
        <f t="shared" si="65"/>
        <v/>
      </c>
      <c r="DY20" s="494" t="str">
        <f t="shared" si="66"/>
        <v/>
      </c>
      <c r="DZ20" s="494"/>
      <c r="EA20">
        <f t="shared" si="67"/>
        <v>0</v>
      </c>
      <c r="EB20" s="17">
        <f t="shared" si="57"/>
        <v>12318.75</v>
      </c>
      <c r="EC20" s="18">
        <f t="shared" si="58"/>
        <v>-6000</v>
      </c>
      <c r="ED20" s="264">
        <f t="shared" si="59"/>
        <v>18318.75</v>
      </c>
      <c r="EE20" s="264">
        <f t="shared" si="64"/>
        <v>1204.5205479452054</v>
      </c>
      <c r="EF20" s="104">
        <f t="shared" si="60"/>
        <v>0.6</v>
      </c>
      <c r="EG20" s="263">
        <f t="shared" si="61"/>
        <v>8.4351146707801394</v>
      </c>
      <c r="EI20" s="17">
        <f t="shared" si="62"/>
        <v>31.699277772269298</v>
      </c>
      <c r="EJ20" s="164">
        <f>EZ$57</f>
        <v>16.139159882865133</v>
      </c>
      <c r="EK20" s="37">
        <f>EY$59</f>
        <v>0.13289155248639259</v>
      </c>
      <c r="EO20" s="2">
        <v>40787</v>
      </c>
      <c r="EP20" s="259">
        <v>43160</v>
      </c>
    </row>
    <row r="21" spans="1:163" ht="12.75" customHeight="1" x14ac:dyDescent="0.3">
      <c r="A21" s="54"/>
      <c r="B21" s="402" t="s">
        <v>346</v>
      </c>
      <c r="C21" s="407" t="s">
        <v>83</v>
      </c>
      <c r="D21" s="577" t="str">
        <f>IF($C$21="a",'Colony Type'!B114,IF($C$21="d",'Colony Type'!B30,IF($C$21="b",'Colony Type'!B142,IF($C$21="c",'Colony Type'!B170,IF($C$21="r",'Colony Type'!B198,IF($C$21="s",'Colony Type'!B226,IF($C$21="f",'Colony Type'!B254,IF($C$21="n",'Colony Type'!B58,IF($C$21="p",'Colony Type'!B86,"error")))))))))</f>
        <v>D: Default colony in temperate climate, managed to prevent swarming (slight fall brood buildup)</v>
      </c>
      <c r="E21" s="578"/>
      <c r="F21" s="578"/>
      <c r="G21" s="578"/>
      <c r="H21" s="578"/>
      <c r="I21" s="578"/>
      <c r="J21" s="578"/>
      <c r="K21" s="578"/>
      <c r="L21" s="578"/>
      <c r="M21" s="578"/>
      <c r="N21" s="578"/>
      <c r="O21" s="578"/>
      <c r="P21" s="578"/>
      <c r="Q21" s="578"/>
      <c r="R21" s="578"/>
      <c r="S21" s="578"/>
      <c r="T21" s="578"/>
      <c r="U21" s="578"/>
      <c r="V21" s="578"/>
      <c r="W21" s="578"/>
      <c r="X21" s="578"/>
      <c r="Y21" s="578"/>
      <c r="Z21" s="578"/>
      <c r="AA21" s="579"/>
      <c r="AB21" s="581" t="s">
        <v>351</v>
      </c>
      <c r="AC21" s="581"/>
      <c r="AZ21" s="405">
        <f t="shared" si="35"/>
        <v>40801</v>
      </c>
      <c r="BA21" s="59">
        <f t="shared" si="0"/>
        <v>122.4423356641497</v>
      </c>
      <c r="BB21" s="301">
        <f t="shared" si="36"/>
        <v>3.4553739962258849E-2</v>
      </c>
      <c r="BC21" s="233">
        <f t="shared" si="1"/>
        <v>50</v>
      </c>
      <c r="BD21" s="123">
        <f t="shared" si="37"/>
        <v>0.47763508569329155</v>
      </c>
      <c r="BE21" s="4">
        <f t="shared" si="2"/>
        <v>6.4685130266464164E-3</v>
      </c>
      <c r="BF21" s="3">
        <f t="shared" si="3"/>
        <v>0.39628172098980846</v>
      </c>
      <c r="BG21" s="519" t="s">
        <v>378</v>
      </c>
      <c r="BH21" s="496" t="s">
        <v>156</v>
      </c>
      <c r="BI21" s="496"/>
      <c r="BJ21" s="496"/>
      <c r="BK21" s="496"/>
      <c r="BL21" s="496"/>
      <c r="BN21" s="511"/>
      <c r="BO21" s="271">
        <f t="shared" si="38"/>
        <v>40801</v>
      </c>
      <c r="BP21" s="375">
        <f>IF($AZ$31="d",'Colony Type'!H48,IF($AZ$31="n",'Colony Type'!H76,IF($AZ$31="p",'Colony Type'!H104,IF($AZ$31="a",'Colony Type'!H132,IF($AZ$31="b",'Colony Type'!H160,IF($AZ$31="c",'Colony Type'!H188,IF($AZ$31="r",'Colony Type'!H216,IF($AZ$31="s",'Colony Type'!H244,IF($AZ$31="f",'Colony Type'!H272,"error")))))))))</f>
        <v>16</v>
      </c>
      <c r="BQ21">
        <f t="shared" si="4"/>
        <v>32000</v>
      </c>
      <c r="BR21" s="81">
        <f>IF($AZ$31="d",'Colony Type'!F48,IF($AZ$31="n",'Colony Type'!F76,IF($AZ$31="p",'Colony Type'!F104,IF($AZ$31="a",'Colony Type'!F132,IF($AZ$31="b",'Colony Type'!F160,IF($AZ$31="c",'Colony Type'!F188,IF($AZ$31="r",'Colony Type'!F216,IF($AZ$31="s",'Colony Type'!F244,IF($AZ$31="f",'Colony Type'!F272,"error")))))))))</f>
        <v>4</v>
      </c>
      <c r="BS21" s="17">
        <f t="shared" si="5"/>
        <v>18000</v>
      </c>
      <c r="BT21" s="21">
        <f t="shared" si="6"/>
        <v>0.5625</v>
      </c>
      <c r="BU21">
        <f t="shared" si="39"/>
        <v>10800</v>
      </c>
      <c r="BV21" s="18">
        <f t="shared" si="40"/>
        <v>69.85994068778129</v>
      </c>
      <c r="BW21" s="18">
        <f t="shared" si="7"/>
        <v>900</v>
      </c>
      <c r="BX21" s="141">
        <f t="shared" si="41"/>
        <v>7.8768207245178088</v>
      </c>
      <c r="BY21" s="27">
        <f t="shared" si="8"/>
        <v>19.87682072451781</v>
      </c>
      <c r="BZ21" s="32">
        <f t="shared" si="9"/>
        <v>0.39628172098980846</v>
      </c>
      <c r="CA21" s="130">
        <f t="shared" si="10"/>
        <v>0.60371827901019159</v>
      </c>
      <c r="CB21" s="28">
        <f t="shared" si="11"/>
        <v>73.920676165148663</v>
      </c>
      <c r="CC21" s="255">
        <f t="shared" si="12"/>
        <v>10800</v>
      </c>
      <c r="CD21" s="80">
        <f>IF($AZ$31="d",'Colony Type'!J48,IF($AZ$31="n",'Colony Type'!J76,IF($AZ$31="p",'Colony Type'!J104,IF($AZ$31="a",'Colony Type'!J132,IF($AZ$31="b",'Colony Type'!J160,IF($AZ$31="c",'Colony Type'!J188,IF($AZ$31="r",'Colony Type'!J216,IF($AZ$31="s",'Colony Type'!J216,IF($AZ$31="f",'Colony Type'!J272,"error")))))))))</f>
        <v>0.02</v>
      </c>
      <c r="CE21" s="106">
        <f t="shared" si="42"/>
        <v>1.2800000000000001E-2</v>
      </c>
      <c r="CF21" s="75">
        <f t="shared" si="43"/>
        <v>6.4000000000000001E-2</v>
      </c>
      <c r="CG21" s="102">
        <f t="shared" si="44"/>
        <v>3.8637969856652264E-2</v>
      </c>
      <c r="CH21" s="72">
        <f t="shared" si="13"/>
        <v>4.7309232745695144</v>
      </c>
      <c r="CI21" s="73">
        <f t="shared" si="45"/>
        <v>3.42225352616429E-2</v>
      </c>
      <c r="CJ21" s="356">
        <f t="shared" si="14"/>
        <v>3.3643567673700359E-2</v>
      </c>
      <c r="CK21" s="357">
        <f t="shared" si="46"/>
        <v>1.017208864219092</v>
      </c>
      <c r="CL21" s="73">
        <f t="shared" si="15"/>
        <v>22.87682072451781</v>
      </c>
      <c r="CM21" s="355">
        <v>1</v>
      </c>
      <c r="CN21" s="84">
        <f t="shared" si="16"/>
        <v>4.2749999999999995</v>
      </c>
      <c r="CO21" s="78">
        <f t="shared" si="47"/>
        <v>9.8493837450082944E-2</v>
      </c>
      <c r="CP21" s="103">
        <f t="shared" si="48"/>
        <v>0.56508030915353935</v>
      </c>
      <c r="CQ21" s="71">
        <f t="shared" si="49"/>
        <v>10661.76</v>
      </c>
      <c r="CR21" s="71">
        <f t="shared" si="17"/>
        <v>69.189752890579143</v>
      </c>
      <c r="CS21" s="74">
        <f t="shared" si="18"/>
        <v>6.489524514768588E-3</v>
      </c>
      <c r="CT21" s="353">
        <f t="shared" si="19"/>
        <v>6.4685130266464164E-3</v>
      </c>
      <c r="CU21" s="355">
        <f t="shared" si="50"/>
        <v>1.0030931985204681</v>
      </c>
      <c r="CV21" s="76">
        <f t="shared" si="20"/>
        <v>0.93599999999999994</v>
      </c>
      <c r="CW21" s="74">
        <f t="shared" si="21"/>
        <v>19.87682072451781</v>
      </c>
      <c r="CX21" s="354">
        <v>1</v>
      </c>
      <c r="CY21" s="83">
        <f t="shared" si="51"/>
        <v>2.2586249999999999</v>
      </c>
      <c r="CZ21" s="79">
        <f t="shared" si="22"/>
        <v>6.518049768398862E-2</v>
      </c>
      <c r="DA21" s="112">
        <f t="shared" si="23"/>
        <v>4.0637817704512157E-2</v>
      </c>
      <c r="DB21" s="55">
        <f t="shared" si="24"/>
        <v>-5.0125418235442863E-3</v>
      </c>
      <c r="DC21" s="133">
        <f t="shared" si="25"/>
        <v>3.5625275880967873E-2</v>
      </c>
      <c r="DD21" s="133"/>
      <c r="DE21" s="377">
        <f t="shared" si="68"/>
        <v>122.4423356641497</v>
      </c>
      <c r="DF21" s="240">
        <f t="shared" si="26"/>
        <v>85.70963496490478</v>
      </c>
      <c r="DG21" s="240">
        <f t="shared" si="69"/>
        <v>74.319548511376581</v>
      </c>
      <c r="DH21" s="148">
        <f t="shared" si="70"/>
        <v>63.56372693590481</v>
      </c>
      <c r="DI21" s="17">
        <f t="shared" si="53"/>
        <v>186.00606260005452</v>
      </c>
      <c r="DJ21" s="266">
        <f t="shared" si="54"/>
        <v>13.652690032021724</v>
      </c>
      <c r="DK21" s="135">
        <f t="shared" si="27"/>
        <v>172.3533725680328</v>
      </c>
      <c r="DL21" s="244">
        <f>'Mite Immigration'!C29</f>
        <v>50</v>
      </c>
      <c r="DM21" s="137">
        <f t="shared" si="55"/>
        <v>-15.265132046778009</v>
      </c>
      <c r="DN21" s="98">
        <f t="shared" si="63"/>
        <v>34.734867953221993</v>
      </c>
      <c r="DO21" s="265">
        <f t="shared" si="28"/>
        <v>207.08824052125479</v>
      </c>
      <c r="DP21" s="392">
        <f>FA$32</f>
        <v>0</v>
      </c>
      <c r="DQ21" s="135">
        <f t="shared" si="56"/>
        <v>0</v>
      </c>
      <c r="DR21" s="95">
        <f t="shared" si="29"/>
        <v>207.08824052125479</v>
      </c>
      <c r="DS21" s="29">
        <f t="shared" si="30"/>
        <v>3.4553739962258849E-2</v>
      </c>
      <c r="DT21" s="271">
        <f t="shared" si="31"/>
        <v>40801</v>
      </c>
      <c r="DU21" s="89">
        <f t="shared" si="32"/>
        <v>48.521659499001046</v>
      </c>
      <c r="DV21" s="29">
        <f t="shared" si="33"/>
        <v>1.5163018593437826E-3</v>
      </c>
      <c r="DW21" s="145">
        <f t="shared" si="34"/>
        <v>0.47763508569329155</v>
      </c>
      <c r="DX21" s="494" t="str">
        <f t="shared" si="65"/>
        <v/>
      </c>
      <c r="DY21" s="494" t="str">
        <f t="shared" si="66"/>
        <v/>
      </c>
      <c r="DZ21" s="494"/>
      <c r="EA21">
        <f t="shared" si="67"/>
        <v>0</v>
      </c>
      <c r="EB21" s="17">
        <f t="shared" si="57"/>
        <v>10778.90625</v>
      </c>
      <c r="EC21" s="18">
        <f t="shared" si="58"/>
        <v>-6000</v>
      </c>
      <c r="ED21" s="264">
        <f t="shared" si="59"/>
        <v>16778.90625</v>
      </c>
      <c r="EE21" s="264">
        <f t="shared" si="64"/>
        <v>1103.2705479452054</v>
      </c>
      <c r="EF21" s="104">
        <f t="shared" si="60"/>
        <v>0.6</v>
      </c>
      <c r="EG21" s="263">
        <f t="shared" si="61"/>
        <v>15.265132046778009</v>
      </c>
      <c r="EI21" s="17">
        <f t="shared" si="62"/>
        <v>63.56372693590481</v>
      </c>
      <c r="EJ21" s="164">
        <f>FA$57</f>
        <v>22.891771757701193</v>
      </c>
      <c r="EK21" s="37">
        <f>EZ$59</f>
        <v>0.14779887047446882</v>
      </c>
      <c r="EO21" s="2">
        <v>40801</v>
      </c>
      <c r="EP21" s="259">
        <v>43174</v>
      </c>
      <c r="ES21">
        <v>19.53</v>
      </c>
    </row>
    <row r="22" spans="1:163" ht="12.65" customHeight="1" x14ac:dyDescent="0.3">
      <c r="B22" s="395" t="s">
        <v>345</v>
      </c>
      <c r="C22" s="401">
        <v>100</v>
      </c>
      <c r="D22" s="413">
        <f>IF('Current version'!$BA5=0,"",'Current version'!$BA5)</f>
        <v>92.660083310629844</v>
      </c>
      <c r="E22" s="413">
        <f>IF('Current version'!$BA6=0,"",'Current version'!$BA6)</f>
        <v>100.32108346182575</v>
      </c>
      <c r="F22" s="413">
        <f>IF('Current version'!$BA7=0,"",'Current version'!$BA7)</f>
        <v>124.42065763678137</v>
      </c>
      <c r="G22" s="413">
        <f>IF('Current version'!$BA8=0,"",'Current version'!$BA8)</f>
        <v>158.6749522648</v>
      </c>
      <c r="H22" s="413">
        <f>IF('Current version'!$BA9=0,"",'Current version'!$BA9)</f>
        <v>210.62746864578881</v>
      </c>
      <c r="I22" s="413">
        <f>BA10</f>
        <v>300.29874118793583</v>
      </c>
      <c r="J22" s="413">
        <f>'Current version'!BA11</f>
        <v>47.528153417114936</v>
      </c>
      <c r="K22" s="413">
        <f>'Current version'!BA12</f>
        <v>75.712463328523583</v>
      </c>
      <c r="L22" s="413">
        <f>'Current version'!BA13</f>
        <v>119.40933612985226</v>
      </c>
      <c r="M22" s="413">
        <f>'Current version'!BA14</f>
        <v>182.51496160377994</v>
      </c>
      <c r="N22" s="413">
        <f>'Current version'!BA15</f>
        <v>272.8774940069419</v>
      </c>
      <c r="O22" s="413">
        <f>'Current version'!BA16</f>
        <v>392.06851709489348</v>
      </c>
      <c r="P22" s="413">
        <f>'Current version'!BA17</f>
        <v>550.98031382371255</v>
      </c>
      <c r="Q22" s="413">
        <f>'Current version'!BA18</f>
        <v>750.81684600505048</v>
      </c>
      <c r="R22" s="413">
        <f>'Current version'!BA19</f>
        <v>1011.1193692406275</v>
      </c>
      <c r="S22" s="413">
        <f>'Current version'!BA20</f>
        <v>66.376880901445702</v>
      </c>
      <c r="T22" s="413">
        <f>'Current version'!BA21</f>
        <v>122.4423356641497</v>
      </c>
      <c r="U22" s="413">
        <f>'Current version'!BA22</f>
        <v>207.08824052125479</v>
      </c>
      <c r="V22" s="413">
        <f>'Current version'!BA23</f>
        <v>270.94396132282179</v>
      </c>
      <c r="W22" s="413">
        <f>'Current version'!BA24</f>
        <v>290.2461156752704</v>
      </c>
      <c r="X22" s="413">
        <f>'Current version'!BA25</f>
        <v>306.09622690069557</v>
      </c>
      <c r="Y22" s="413">
        <f>'Current version'!BA26</f>
        <v>342.59860970292323</v>
      </c>
      <c r="Z22" s="413">
        <f>'Current version'!BA27</f>
        <v>385.9380875438485</v>
      </c>
      <c r="AA22" s="414">
        <f>'Current version'!BA28</f>
        <v>345.91708166419932</v>
      </c>
      <c r="AB22" s="581"/>
      <c r="AC22" s="581"/>
      <c r="AE22" s="291"/>
      <c r="AF22" s="291"/>
      <c r="AZ22" s="405">
        <f t="shared" si="35"/>
        <v>40817</v>
      </c>
      <c r="BA22" s="59">
        <f t="shared" si="0"/>
        <v>207.08824052125479</v>
      </c>
      <c r="BB22" s="301">
        <f t="shared" si="36"/>
        <v>1.7672352629001273E-2</v>
      </c>
      <c r="BC22" s="233">
        <f t="shared" si="1"/>
        <v>30</v>
      </c>
      <c r="BD22" s="123">
        <f t="shared" si="37"/>
        <v>1.0409220755267827</v>
      </c>
      <c r="BE22" s="4">
        <f t="shared" si="2"/>
        <v>1.9792759856776532E-2</v>
      </c>
      <c r="BF22" s="3">
        <f t="shared" si="3"/>
        <v>0.47871108236240284</v>
      </c>
      <c r="BG22" s="520"/>
      <c r="BH22" s="496"/>
      <c r="BI22" s="496"/>
      <c r="BJ22" s="496"/>
      <c r="BK22" s="496"/>
      <c r="BL22" s="496"/>
      <c r="BN22" s="511"/>
      <c r="BO22" s="271">
        <f t="shared" si="38"/>
        <v>40817</v>
      </c>
      <c r="BP22" s="375">
        <f>IF($AZ$31="d",'Colony Type'!H49,IF($AZ$31="n",'Colony Type'!H77,IF($AZ$31="p",'Colony Type'!H105,IF($AZ$31="a",'Colony Type'!H133,IF($AZ$31="b",'Colony Type'!H161,IF($AZ$31="c",'Colony Type'!H189,IF($AZ$31="r",'Colony Type'!H217,IF($AZ$31="s",'Colony Type'!H245,IF($AZ$31="f",'Colony Type'!H273,"error")))))))))</f>
        <v>15</v>
      </c>
      <c r="BQ22">
        <f t="shared" si="4"/>
        <v>30000</v>
      </c>
      <c r="BR22" s="81">
        <f>IF($AZ$31="d",'Colony Type'!F49,IF($AZ$31="n",'Colony Type'!F77,IF($AZ$31="p",'Colony Type'!F105,IF($AZ$31="a",'Colony Type'!F133,IF($AZ$31="b",'Colony Type'!F161,IF($AZ$31="c",'Colony Type'!F189,IF($AZ$31="r",'Colony Type'!F217,IF($AZ$31="s",'Colony Type'!F245,IF($AZ$31="f",'Colony Type'!F273,"error")))))))))</f>
        <v>2</v>
      </c>
      <c r="BS22" s="17">
        <f t="shared" si="5"/>
        <v>9000</v>
      </c>
      <c r="BT22" s="21">
        <f t="shared" si="6"/>
        <v>0.3</v>
      </c>
      <c r="BU22">
        <f t="shared" si="39"/>
        <v>5400</v>
      </c>
      <c r="BV22" s="18">
        <f t="shared" si="40"/>
        <v>106.88090322659328</v>
      </c>
      <c r="BW22" s="18">
        <f t="shared" si="7"/>
        <v>450</v>
      </c>
      <c r="BX22" s="141">
        <f t="shared" si="41"/>
        <v>11.019864021629679</v>
      </c>
      <c r="BY22" s="27">
        <f t="shared" si="8"/>
        <v>23.019864021629679</v>
      </c>
      <c r="BZ22" s="32">
        <f t="shared" si="9"/>
        <v>0.47871108236240284</v>
      </c>
      <c r="CA22" s="130">
        <f t="shared" si="10"/>
        <v>0.52128891763759722</v>
      </c>
      <c r="CB22" s="28">
        <f t="shared" si="11"/>
        <v>107.95280475679931</v>
      </c>
      <c r="CC22" s="255">
        <f t="shared" si="12"/>
        <v>5400</v>
      </c>
      <c r="CD22" s="80">
        <f>IF($AZ$31="d",'Colony Type'!J49,IF($AZ$31="n",'Colony Type'!J77,IF($AZ$31="p",'Colony Type'!J105,IF($AZ$31="a",'Colony Type'!J133,IF($AZ$31="b",'Colony Type'!J161,IF($AZ$31="c",'Colony Type'!J189,IF($AZ$31="r",'Colony Type'!J217,IF($AZ$31="s",'Colony Type'!J217,IF($AZ$31="f",'Colony Type'!J273,"error")))))))))</f>
        <v>0</v>
      </c>
      <c r="CE22" s="106">
        <f t="shared" si="42"/>
        <v>0</v>
      </c>
      <c r="CF22" s="75">
        <f t="shared" si="43"/>
        <v>0</v>
      </c>
      <c r="CG22" s="102">
        <f t="shared" si="44"/>
        <v>0</v>
      </c>
      <c r="CH22" s="72">
        <f t="shared" si="13"/>
        <v>0</v>
      </c>
      <c r="CI22" s="73">
        <f t="shared" si="45"/>
        <v>0</v>
      </c>
      <c r="CJ22" s="356">
        <f t="shared" si="14"/>
        <v>0</v>
      </c>
      <c r="CK22" s="357">
        <f t="shared" si="46"/>
        <v>0</v>
      </c>
      <c r="CL22" s="73">
        <f t="shared" si="15"/>
        <v>26.019864021629679</v>
      </c>
      <c r="CM22" s="355">
        <v>1</v>
      </c>
      <c r="CN22" s="84">
        <f t="shared" si="16"/>
        <v>4.2749999999999995</v>
      </c>
      <c r="CO22" s="78">
        <f t="shared" si="47"/>
        <v>9.8493837450082944E-2</v>
      </c>
      <c r="CP22" s="103">
        <f t="shared" si="48"/>
        <v>0.52128891763759722</v>
      </c>
      <c r="CQ22" s="71">
        <f t="shared" si="49"/>
        <v>5400</v>
      </c>
      <c r="CR22" s="71">
        <f t="shared" si="17"/>
        <v>107.95280475679931</v>
      </c>
      <c r="CS22" s="74">
        <f t="shared" si="18"/>
        <v>1.9991260140148022E-2</v>
      </c>
      <c r="CT22" s="353">
        <f t="shared" si="19"/>
        <v>1.9792759856776532E-2</v>
      </c>
      <c r="CU22" s="355">
        <f t="shared" si="50"/>
        <v>1.0099779064109375</v>
      </c>
      <c r="CV22" s="76">
        <f t="shared" si="20"/>
        <v>1</v>
      </c>
      <c r="CW22" s="74">
        <f t="shared" si="21"/>
        <v>23.019864021629679</v>
      </c>
      <c r="CX22" s="354">
        <v>1</v>
      </c>
      <c r="CY22" s="83">
        <f t="shared" si="51"/>
        <v>2.2586249999999999</v>
      </c>
      <c r="CZ22" s="79">
        <f t="shared" si="22"/>
        <v>6.518049768398862E-2</v>
      </c>
      <c r="DA22" s="112">
        <f t="shared" si="23"/>
        <v>3.3977871088766341E-2</v>
      </c>
      <c r="DB22" s="55">
        <f t="shared" si="24"/>
        <v>-5.0125418235442863E-3</v>
      </c>
      <c r="DC22" s="133">
        <f t="shared" si="25"/>
        <v>2.8965329265222054E-2</v>
      </c>
      <c r="DD22" s="133"/>
      <c r="DE22" s="377">
        <f t="shared" si="68"/>
        <v>207.08824052125479</v>
      </c>
      <c r="DF22" s="240">
        <f t="shared" si="26"/>
        <v>144.96176836487834</v>
      </c>
      <c r="DG22" s="240">
        <f t="shared" si="69"/>
        <v>123.53658273856773</v>
      </c>
      <c r="DH22" s="148">
        <f t="shared" si="70"/>
        <v>83.580472604076633</v>
      </c>
      <c r="DI22" s="17">
        <f t="shared" si="53"/>
        <v>290.66871312533141</v>
      </c>
      <c r="DJ22" s="266">
        <f t="shared" si="54"/>
        <v>21.334841385463676</v>
      </c>
      <c r="DK22" s="135">
        <f t="shared" si="27"/>
        <v>269.33387173986773</v>
      </c>
      <c r="DL22" s="244">
        <f>'Mite Immigration'!C30</f>
        <v>30</v>
      </c>
      <c r="DM22" s="137">
        <f t="shared" si="55"/>
        <v>-28.38991041704594</v>
      </c>
      <c r="DN22" s="98">
        <f t="shared" si="63"/>
        <v>1.6100895829540605</v>
      </c>
      <c r="DO22" s="265">
        <f t="shared" si="28"/>
        <v>270.94396132282179</v>
      </c>
      <c r="DP22" s="392">
        <f>FB$32</f>
        <v>0</v>
      </c>
      <c r="DQ22" s="135">
        <f t="shared" si="56"/>
        <v>0</v>
      </c>
      <c r="DR22" s="95">
        <f t="shared" si="29"/>
        <v>270.94396132282179</v>
      </c>
      <c r="DS22" s="29">
        <f t="shared" si="30"/>
        <v>1.7672352629001273E-2</v>
      </c>
      <c r="DT22" s="271">
        <f t="shared" si="31"/>
        <v>40817</v>
      </c>
      <c r="DU22" s="89">
        <f t="shared" si="32"/>
        <v>99.135435764455494</v>
      </c>
      <c r="DV22" s="29">
        <f t="shared" si="33"/>
        <v>3.3045145254818496E-3</v>
      </c>
      <c r="DW22" s="145">
        <f t="shared" si="34"/>
        <v>1.0409220755267827</v>
      </c>
      <c r="DX22" s="494" t="str">
        <f>IF((BR22&lt;0.25),DX21,IF(DX21=100,100,IF(CT20&gt;$AH$52,100,"")))</f>
        <v/>
      </c>
      <c r="DY22" s="494" t="str">
        <f t="shared" si="66"/>
        <v/>
      </c>
      <c r="DZ22" s="494"/>
      <c r="EA22">
        <f t="shared" si="67"/>
        <v>0</v>
      </c>
      <c r="EB22" s="17">
        <f t="shared" si="57"/>
        <v>12318.75</v>
      </c>
      <c r="EC22" s="18">
        <f t="shared" si="58"/>
        <v>-2000</v>
      </c>
      <c r="ED22" s="264">
        <f t="shared" si="59"/>
        <v>14318.75</v>
      </c>
      <c r="EE22" s="264">
        <f t="shared" si="64"/>
        <v>941.50684931506851</v>
      </c>
      <c r="EF22" s="104">
        <f t="shared" si="60"/>
        <v>0.6</v>
      </c>
      <c r="EG22" s="263">
        <f t="shared" si="61"/>
        <v>28.38991041704594</v>
      </c>
      <c r="EI22" s="17">
        <f t="shared" si="62"/>
        <v>83.580472604076633</v>
      </c>
      <c r="EJ22" s="164">
        <f>FB$57</f>
        <v>31.495116513829821</v>
      </c>
      <c r="EK22" s="37">
        <f>FA$59</f>
        <v>0.13886318431901118</v>
      </c>
      <c r="EO22" s="2">
        <v>40817</v>
      </c>
      <c r="EP22" s="259">
        <v>43191</v>
      </c>
    </row>
    <row r="23" spans="1:163" ht="12.65" customHeight="1" x14ac:dyDescent="0.3">
      <c r="B23" s="408" t="s">
        <v>347</v>
      </c>
      <c r="C23" s="409">
        <v>1</v>
      </c>
      <c r="D23" s="410">
        <f>'Current version'!BC5</f>
        <v>0</v>
      </c>
      <c r="E23" s="410">
        <f>'Current version'!BC6</f>
        <v>0</v>
      </c>
      <c r="F23" s="410">
        <f>'Current version'!BC7</f>
        <v>0</v>
      </c>
      <c r="G23" s="410">
        <f>'Current version'!BC8</f>
        <v>0</v>
      </c>
      <c r="H23" s="410">
        <f>'Current version'!BC9</f>
        <v>0</v>
      </c>
      <c r="I23" s="410">
        <f>'Current version'!BC10</f>
        <v>0</v>
      </c>
      <c r="J23" s="410">
        <f>'Current version'!BC11</f>
        <v>0</v>
      </c>
      <c r="K23" s="410">
        <f>'Current version'!BC12</f>
        <v>0</v>
      </c>
      <c r="L23" s="410">
        <f>'Current version'!BC13</f>
        <v>0</v>
      </c>
      <c r="M23" s="410">
        <f>'Current version'!BC14</f>
        <v>2</v>
      </c>
      <c r="N23" s="410">
        <f>'Current version'!BC15</f>
        <v>3</v>
      </c>
      <c r="O23" s="410">
        <f>'Current version'!BC16</f>
        <v>5</v>
      </c>
      <c r="P23" s="410">
        <f>'Current version'!BC17</f>
        <v>10</v>
      </c>
      <c r="Q23" s="410">
        <f>'Current version'!BC18</f>
        <v>15</v>
      </c>
      <c r="R23" s="410">
        <f>'Current version'!BC19</f>
        <v>30</v>
      </c>
      <c r="S23" s="410">
        <f>'Current version'!BC20</f>
        <v>40</v>
      </c>
      <c r="T23" s="410">
        <f>'Current version'!BC21</f>
        <v>50</v>
      </c>
      <c r="U23" s="410">
        <f>'Current version'!BC22</f>
        <v>30</v>
      </c>
      <c r="V23" s="410">
        <f>'Current version'!BC23</f>
        <v>10</v>
      </c>
      <c r="W23" s="410">
        <f>'Current version'!BC24</f>
        <v>5</v>
      </c>
      <c r="X23" s="410">
        <f>'Current version'!BC25</f>
        <v>0</v>
      </c>
      <c r="Y23" s="410">
        <f>'Current version'!BC26</f>
        <v>0</v>
      </c>
      <c r="Z23" s="424">
        <f>SUM(D23:Y23)</f>
        <v>200</v>
      </c>
      <c r="AA23" s="425" t="s">
        <v>361</v>
      </c>
      <c r="AB23" s="581"/>
      <c r="AC23" s="581"/>
      <c r="AD23">
        <v>4</v>
      </c>
      <c r="AE23" s="291"/>
      <c r="AF23" s="291"/>
      <c r="AZ23" s="405">
        <f t="shared" si="35"/>
        <v>40831</v>
      </c>
      <c r="BA23" s="59">
        <f t="shared" si="0"/>
        <v>270.94396132282179</v>
      </c>
      <c r="BB23" s="301">
        <f t="shared" si="36"/>
        <v>4.524968093714072E-3</v>
      </c>
      <c r="BC23" s="233">
        <f t="shared" si="1"/>
        <v>10</v>
      </c>
      <c r="BD23" s="123">
        <f t="shared" si="37"/>
        <v>2.0762449465340977</v>
      </c>
      <c r="BE23" s="4">
        <f t="shared" si="2"/>
        <v>8.012858526753508E-2</v>
      </c>
      <c r="BF23" s="3">
        <f t="shared" si="3"/>
        <v>0.58384800455480101</v>
      </c>
      <c r="BG23" s="519" t="s">
        <v>379</v>
      </c>
      <c r="BH23" s="537" t="s">
        <v>380</v>
      </c>
      <c r="BI23" s="538"/>
      <c r="BJ23" s="538"/>
      <c r="BK23" s="538"/>
      <c r="BL23" s="539"/>
      <c r="BN23" s="511"/>
      <c r="BO23" s="271">
        <f t="shared" si="38"/>
        <v>40831</v>
      </c>
      <c r="BP23" s="375">
        <f>IF($AZ$31="d",'Colony Type'!H50,IF($AZ$31="n",'Colony Type'!H78,IF($AZ$31="p",'Colony Type'!H106,IF($AZ$31="a",'Colony Type'!H134,IF($AZ$31="b",'Colony Type'!H162,IF($AZ$31="c",'Colony Type'!H190,IF($AZ$31="r",'Colony Type'!H218,IF($AZ$31="s",'Colony Type'!H246,IF($AZ$31="f",'Colony Type'!H274,"error")))))))))</f>
        <v>12</v>
      </c>
      <c r="BQ23">
        <f t="shared" si="4"/>
        <v>24000</v>
      </c>
      <c r="BR23" s="81">
        <f>IF($AZ$31="d",'Colony Type'!F50,IF($AZ$31="n",'Colony Type'!F78,IF($AZ$31="p",'Colony Type'!F106,IF($AZ$31="a",'Colony Type'!F134,IF($AZ$31="b",'Colony Type'!F162,IF($AZ$31="c",'Colony Type'!F190,IF($AZ$31="r",'Colony Type'!F218,IF($AZ$31="s",'Colony Type'!F246,IF($AZ$31="f",'Colony Type'!F274,"error")))))))))</f>
        <v>0.5</v>
      </c>
      <c r="BS23" s="17">
        <f t="shared" si="5"/>
        <v>2250</v>
      </c>
      <c r="BT23" s="21">
        <f t="shared" si="6"/>
        <v>9.375E-2</v>
      </c>
      <c r="BU23">
        <f t="shared" si="39"/>
        <v>1350</v>
      </c>
      <c r="BV23" s="18">
        <f t="shared" si="40"/>
        <v>108.17359011117236</v>
      </c>
      <c r="BW23" s="18">
        <f t="shared" si="7"/>
        <v>112.5</v>
      </c>
      <c r="BX23" s="141">
        <f t="shared" si="41"/>
        <v>16.835618070658086</v>
      </c>
      <c r="BY23" s="27">
        <f t="shared" si="8"/>
        <v>28.835618070658086</v>
      </c>
      <c r="BZ23" s="32">
        <f t="shared" si="9"/>
        <v>0.58384800455480101</v>
      </c>
      <c r="CA23" s="130">
        <f t="shared" si="10"/>
        <v>0.41615199544519899</v>
      </c>
      <c r="CB23" s="28">
        <f t="shared" si="11"/>
        <v>112.7538701583191</v>
      </c>
      <c r="CC23" s="255">
        <f t="shared" si="12"/>
        <v>1350</v>
      </c>
      <c r="CD23" s="80">
        <f>IF($AZ$31="d",'Colony Type'!J50,IF($AZ$31="n",'Colony Type'!J78,IF($AZ$31="p",'Colony Type'!J106,IF($AZ$31="a",'Colony Type'!J134,IF($AZ$31="b",'Colony Type'!J162,IF($AZ$31="c",'Colony Type'!J190,IF($AZ$31="r",'Colony Type'!J218,IF($AZ$31="s",'Colony Type'!J218,IF($AZ$31="f",'Colony Type'!J274,"error")))))))))</f>
        <v>0</v>
      </c>
      <c r="CE23" s="106">
        <f t="shared" si="42"/>
        <v>0</v>
      </c>
      <c r="CF23" s="75">
        <f t="shared" si="43"/>
        <v>0</v>
      </c>
      <c r="CG23" s="102">
        <f t="shared" si="44"/>
        <v>0</v>
      </c>
      <c r="CH23" s="72">
        <f t="shared" si="13"/>
        <v>0</v>
      </c>
      <c r="CI23" s="73">
        <f t="shared" si="45"/>
        <v>0</v>
      </c>
      <c r="CJ23" s="356">
        <f t="shared" si="14"/>
        <v>0</v>
      </c>
      <c r="CK23" s="357">
        <f t="shared" si="46"/>
        <v>0</v>
      </c>
      <c r="CL23" s="73">
        <f t="shared" si="15"/>
        <v>31.835618070658086</v>
      </c>
      <c r="CM23" s="355">
        <v>1</v>
      </c>
      <c r="CN23" s="84">
        <f t="shared" si="16"/>
        <v>4.2749999999999995</v>
      </c>
      <c r="CO23" s="78">
        <f t="shared" si="47"/>
        <v>9.8493837450082944E-2</v>
      </c>
      <c r="CP23" s="103">
        <f t="shared" si="48"/>
        <v>0.41615199544519899</v>
      </c>
      <c r="CQ23" s="71">
        <f t="shared" si="49"/>
        <v>1350</v>
      </c>
      <c r="CR23" s="71">
        <f t="shared" si="17"/>
        <v>112.7538701583191</v>
      </c>
      <c r="CS23" s="74">
        <f t="shared" si="18"/>
        <v>8.3521385302458589E-2</v>
      </c>
      <c r="CT23" s="353">
        <f t="shared" si="19"/>
        <v>8.012858526753508E-2</v>
      </c>
      <c r="CU23" s="355">
        <f t="shared" si="50"/>
        <v>1.042328935356386</v>
      </c>
      <c r="CV23" s="76">
        <f t="shared" si="20"/>
        <v>1</v>
      </c>
      <c r="CW23" s="74">
        <f t="shared" si="21"/>
        <v>28.835618070658086</v>
      </c>
      <c r="CX23" s="354">
        <v>1</v>
      </c>
      <c r="CY23" s="83">
        <f t="shared" si="51"/>
        <v>2.2586249999999999</v>
      </c>
      <c r="CZ23" s="79">
        <f t="shared" si="22"/>
        <v>6.518049768398862E-2</v>
      </c>
      <c r="DA23" s="112">
        <f t="shared" si="23"/>
        <v>2.7124994175303035E-2</v>
      </c>
      <c r="DB23" s="55">
        <f t="shared" si="24"/>
        <v>-5.0125418235442863E-3</v>
      </c>
      <c r="DC23" s="133">
        <f t="shared" si="25"/>
        <v>2.2112452351758748E-2</v>
      </c>
      <c r="DD23" s="133"/>
      <c r="DE23" s="377">
        <f t="shared" si="68"/>
        <v>270.94396132282179</v>
      </c>
      <c r="DF23" s="240">
        <f t="shared" si="26"/>
        <v>189.66077292597524</v>
      </c>
      <c r="DG23" s="240">
        <f t="shared" si="69"/>
        <v>163.32387405706942</v>
      </c>
      <c r="DH23" s="148">
        <f t="shared" si="70"/>
        <v>83.397865209335862</v>
      </c>
      <c r="DI23" s="17">
        <f t="shared" si="53"/>
        <v>354.34182653215765</v>
      </c>
      <c r="DJ23" s="266">
        <f t="shared" si="54"/>
        <v>26.008394863052899</v>
      </c>
      <c r="DK23" s="135">
        <f t="shared" si="27"/>
        <v>328.33343166910475</v>
      </c>
      <c r="DL23" s="244">
        <f>'Mite Immigration'!C31</f>
        <v>10</v>
      </c>
      <c r="DM23" s="137">
        <f t="shared" si="55"/>
        <v>-48.087315993834373</v>
      </c>
      <c r="DN23" s="98">
        <f t="shared" si="63"/>
        <v>-38.087315993834373</v>
      </c>
      <c r="DO23" s="265">
        <f t="shared" si="28"/>
        <v>290.2461156752704</v>
      </c>
      <c r="DP23" s="392">
        <f>FC$32</f>
        <v>0</v>
      </c>
      <c r="DQ23" s="135">
        <f t="shared" si="56"/>
        <v>0</v>
      </c>
      <c r="DR23" s="95">
        <f t="shared" si="29"/>
        <v>290.2461156752704</v>
      </c>
      <c r="DS23" s="29">
        <f t="shared" si="30"/>
        <v>4.524968093714072E-3</v>
      </c>
      <c r="DT23" s="271">
        <f t="shared" si="31"/>
        <v>40831</v>
      </c>
      <c r="DU23" s="89">
        <f t="shared" si="32"/>
        <v>158.19009116450269</v>
      </c>
      <c r="DV23" s="29">
        <f t="shared" si="33"/>
        <v>6.5912537985209456E-3</v>
      </c>
      <c r="DW23" s="145">
        <f t="shared" si="34"/>
        <v>2.0762449465340977</v>
      </c>
      <c r="DX23" s="494" t="str">
        <f t="shared" si="65"/>
        <v/>
      </c>
      <c r="DY23" s="494" t="str">
        <f t="shared" si="66"/>
        <v/>
      </c>
      <c r="DZ23" s="494">
        <f t="shared" ref="DZ23:DZ28" si="71">IF(DW$21&gt;60,100,0)</f>
        <v>0</v>
      </c>
      <c r="EA23">
        <f t="shared" si="67"/>
        <v>0</v>
      </c>
      <c r="EB23" s="17">
        <f t="shared" si="57"/>
        <v>6159.375</v>
      </c>
      <c r="EC23" s="18">
        <f t="shared" si="58"/>
        <v>-6000</v>
      </c>
      <c r="ED23" s="264">
        <f t="shared" si="59"/>
        <v>12159.375</v>
      </c>
      <c r="EE23" s="264">
        <f t="shared" si="64"/>
        <v>799.52054794520541</v>
      </c>
      <c r="EF23" s="104">
        <f t="shared" si="60"/>
        <v>0.6</v>
      </c>
      <c r="EG23" s="263">
        <f t="shared" si="61"/>
        <v>48.087315993834373</v>
      </c>
      <c r="EI23" s="17">
        <f t="shared" si="62"/>
        <v>83.397865209335862</v>
      </c>
      <c r="EJ23" s="164">
        <f>FC$57</f>
        <v>42.618604478521775</v>
      </c>
      <c r="EK23" s="37">
        <f>FB$59</f>
        <v>0.13317658755246445</v>
      </c>
      <c r="EO23" s="2">
        <v>40831</v>
      </c>
      <c r="EP23" s="259">
        <v>43205</v>
      </c>
      <c r="ES23">
        <v>25.83</v>
      </c>
    </row>
    <row r="24" spans="1:163" ht="12.75" customHeight="1" x14ac:dyDescent="0.3">
      <c r="B24" s="349" t="s">
        <v>94</v>
      </c>
      <c r="C24" s="415" t="s">
        <v>374</v>
      </c>
      <c r="D24" s="415">
        <f>1-'Current version'!BF5</f>
        <v>0.39637935950910275</v>
      </c>
      <c r="E24" s="415">
        <f>1-'Current version'!BF6</f>
        <v>0.41542803120999716</v>
      </c>
      <c r="F24" s="415">
        <f>1-'Current version'!BF7</f>
        <v>0.49765046718327932</v>
      </c>
      <c r="G24" s="415">
        <f>1-'Current version'!BF8</f>
        <v>0.52921954133048477</v>
      </c>
      <c r="H24" s="415">
        <f>1-'Current version'!BF9</f>
        <v>0.65081532324296698</v>
      </c>
      <c r="I24" s="415">
        <f>1-'Current version'!BF10</f>
        <v>0.73121308739562751</v>
      </c>
      <c r="J24" s="415">
        <f>1-'Current version'!BF11</f>
        <v>0.78455129248541799</v>
      </c>
      <c r="K24" s="415">
        <f>1-'Current version'!BF12</f>
        <v>0.75112537656379341</v>
      </c>
      <c r="L24" s="415">
        <f>1-'Current version'!BF13</f>
        <v>0.70066491185305146</v>
      </c>
      <c r="M24" s="415">
        <f>1-'Current version'!BF14</f>
        <v>0.6689711582295691</v>
      </c>
      <c r="N24" s="415">
        <f>1-'Current version'!BF15</f>
        <v>0.63020078776056976</v>
      </c>
      <c r="O24" s="415">
        <f>1-'Current version'!BF16</f>
        <v>0.60371827901019159</v>
      </c>
      <c r="P24" s="415">
        <f>1-'Current version'!BF17</f>
        <v>0.57163167812269144</v>
      </c>
      <c r="Q24" s="415">
        <f>1-'Current version'!BF18</f>
        <v>0.55763789267006758</v>
      </c>
      <c r="R24" s="415">
        <f>1-'Current version'!BF19</f>
        <v>0.55894312923756839</v>
      </c>
      <c r="S24" s="415">
        <f>1-'Current version'!BF20</f>
        <v>0.56064996971063963</v>
      </c>
      <c r="T24" s="415">
        <f>1-'Current version'!BF21</f>
        <v>0.60371827901019159</v>
      </c>
      <c r="U24" s="415">
        <f>1-'Current version'!BF22</f>
        <v>0.52128891763759722</v>
      </c>
      <c r="V24" s="415">
        <f>1-'Current version'!BF23</f>
        <v>0.41615199544519899</v>
      </c>
      <c r="W24" s="415">
        <f>1-'Current version'!BF24</f>
        <v>0.38881579641825503</v>
      </c>
      <c r="X24" s="415">
        <f>1-'Current version'!BF25</f>
        <v>0.3524965389454171</v>
      </c>
      <c r="Y24" s="415">
        <f>1-'Current version'!BF26</f>
        <v>0.34276566961337107</v>
      </c>
      <c r="Z24" s="415">
        <f>1-'Current version'!BF27</f>
        <v>0</v>
      </c>
      <c r="AA24" s="416">
        <f>1-'Current version'!BF28</f>
        <v>0.3556634207814211</v>
      </c>
      <c r="AB24" s="581"/>
      <c r="AC24" s="581"/>
      <c r="AE24" s="291"/>
      <c r="AF24" s="291"/>
      <c r="AG24" s="566" t="s">
        <v>207</v>
      </c>
      <c r="AH24" s="566"/>
      <c r="AI24" s="566"/>
      <c r="AJ24" s="566"/>
      <c r="AK24" s="566"/>
      <c r="AL24" s="566"/>
      <c r="AM24" s="566"/>
      <c r="AN24" s="566"/>
      <c r="AO24" s="566"/>
      <c r="AP24" s="566"/>
      <c r="AQ24" s="566"/>
      <c r="AR24" s="566"/>
      <c r="AS24" s="566"/>
      <c r="AT24" s="566"/>
      <c r="AU24" s="566"/>
      <c r="AV24" s="567"/>
      <c r="AW24" s="568">
        <f>LN(BA21/BA11)/(AZ21-AZ11)</f>
        <v>6.1850846464397407E-3</v>
      </c>
      <c r="AX24" s="568"/>
      <c r="AZ24" s="405">
        <f t="shared" si="35"/>
        <v>40848</v>
      </c>
      <c r="BA24" s="59">
        <f t="shared" si="0"/>
        <v>290.2461156752704</v>
      </c>
      <c r="BB24" s="301">
        <f t="shared" si="36"/>
        <v>3.4961281125495116E-3</v>
      </c>
      <c r="BC24" s="233">
        <f t="shared" si="1"/>
        <v>5</v>
      </c>
      <c r="BD24" s="123">
        <f t="shared" si="37"/>
        <v>3.1043922184044903</v>
      </c>
      <c r="BE24" s="4">
        <f t="shared" si="2"/>
        <v>0.15395992878723719</v>
      </c>
      <c r="BF24" s="3">
        <f t="shared" si="3"/>
        <v>0.61118420358174497</v>
      </c>
      <c r="BG24" s="520"/>
      <c r="BH24" s="540"/>
      <c r="BI24" s="541"/>
      <c r="BJ24" s="541"/>
      <c r="BK24" s="541"/>
      <c r="BL24" s="542"/>
      <c r="BN24" s="511"/>
      <c r="BO24" s="271">
        <f t="shared" si="38"/>
        <v>40848</v>
      </c>
      <c r="BP24" s="375">
        <f>IF($AZ$31="d",'Colony Type'!H51,IF($AZ$31="n",'Colony Type'!H79,IF($AZ$31="p",'Colony Type'!H107,IF($AZ$31="a",'Colony Type'!H135,IF($AZ$31="b",'Colony Type'!H163,IF($AZ$31="c",'Colony Type'!H191,IF($AZ$31="r",'Colony Type'!H219,IF($AZ$31="s",'Colony Type'!H247,IF($AZ$31="f",'Colony Type'!H275,"error")))))))))</f>
        <v>9</v>
      </c>
      <c r="BQ24">
        <f t="shared" si="4"/>
        <v>18000</v>
      </c>
      <c r="BR24" s="81">
        <f>IF($AZ$31="d",'Colony Type'!F51,IF($AZ$31="n",'Colony Type'!F79,IF($AZ$31="p",'Colony Type'!F107,IF($AZ$31="a",'Colony Type'!F135,IF($AZ$31="b",'Colony Type'!F163,IF($AZ$31="c",'Colony Type'!F191,IF($AZ$31="r",'Colony Type'!F219,IF($AZ$31="s",'Colony Type'!F247,IF($AZ$31="f",'Colony Type'!F275,"error")))))))))</f>
        <v>0.25</v>
      </c>
      <c r="BS24" s="17">
        <f t="shared" si="5"/>
        <v>1125</v>
      </c>
      <c r="BT24" s="21">
        <f t="shared" si="6"/>
        <v>6.25E-2</v>
      </c>
      <c r="BU24">
        <f t="shared" si="39"/>
        <v>675</v>
      </c>
      <c r="BV24" s="18">
        <f t="shared" si="40"/>
        <v>103.9229519313851</v>
      </c>
      <c r="BW24" s="18">
        <f t="shared" si="7"/>
        <v>56.25</v>
      </c>
      <c r="BX24" s="141">
        <f t="shared" si="41"/>
        <v>18.862943611198908</v>
      </c>
      <c r="BY24" s="27">
        <f t="shared" si="8"/>
        <v>30.862943611198908</v>
      </c>
      <c r="BZ24" s="32">
        <f t="shared" si="9"/>
        <v>0.61118420358174497</v>
      </c>
      <c r="CA24" s="130">
        <f t="shared" si="10"/>
        <v>0.38881579641825503</v>
      </c>
      <c r="CB24" s="28">
        <f t="shared" si="11"/>
        <v>112.85227462358523</v>
      </c>
      <c r="CC24" s="255">
        <f t="shared" si="12"/>
        <v>675</v>
      </c>
      <c r="CD24" s="80">
        <f>IF($AZ$31="d",'Colony Type'!J51,IF($AZ$31="n",'Colony Type'!J79,IF($AZ$31="p",'Colony Type'!J107,IF($AZ$31="a",'Colony Type'!J135,IF($AZ$31="b",'Colony Type'!J163,IF($AZ$31="c",'Colony Type'!J191,IF($AZ$31="r",'Colony Type'!J219,IF($AZ$31="s",'Colony Type'!J219,IF($AZ$31="f",'Colony Type'!J275,"error")))))))))</f>
        <v>0</v>
      </c>
      <c r="CE24" s="106">
        <f t="shared" si="42"/>
        <v>0</v>
      </c>
      <c r="CF24" s="75">
        <f t="shared" si="43"/>
        <v>0</v>
      </c>
      <c r="CG24" s="102">
        <f t="shared" si="44"/>
        <v>0</v>
      </c>
      <c r="CH24" s="72">
        <f t="shared" si="13"/>
        <v>0</v>
      </c>
      <c r="CI24" s="73">
        <f t="shared" si="45"/>
        <v>0</v>
      </c>
      <c r="CJ24" s="356">
        <f t="shared" si="14"/>
        <v>0</v>
      </c>
      <c r="CK24" s="357">
        <f t="shared" si="46"/>
        <v>0</v>
      </c>
      <c r="CL24" s="73">
        <f t="shared" si="15"/>
        <v>33.862943611198908</v>
      </c>
      <c r="CM24" s="355">
        <v>1</v>
      </c>
      <c r="CN24" s="84">
        <f t="shared" si="16"/>
        <v>4.2749999999999995</v>
      </c>
      <c r="CO24" s="78">
        <f t="shared" si="47"/>
        <v>9.8493837450082944E-2</v>
      </c>
      <c r="CP24" s="103">
        <f t="shared" si="48"/>
        <v>0.38881579641825503</v>
      </c>
      <c r="CQ24" s="71">
        <f t="shared" si="49"/>
        <v>675</v>
      </c>
      <c r="CR24" s="71">
        <f t="shared" si="17"/>
        <v>112.85227462358523</v>
      </c>
      <c r="CS24" s="74">
        <f t="shared" si="18"/>
        <v>0.16718855499790405</v>
      </c>
      <c r="CT24" s="353">
        <f t="shared" si="19"/>
        <v>0.15395992878723719</v>
      </c>
      <c r="CU24" s="355">
        <f t="shared" si="50"/>
        <v>1.0859154742366259</v>
      </c>
      <c r="CV24" s="76">
        <f t="shared" si="20"/>
        <v>1</v>
      </c>
      <c r="CW24" s="74">
        <f t="shared" si="21"/>
        <v>30.862943611198908</v>
      </c>
      <c r="CX24" s="354">
        <v>1</v>
      </c>
      <c r="CY24" s="83">
        <f t="shared" si="51"/>
        <v>2.2586249999999999</v>
      </c>
      <c r="CZ24" s="79">
        <f t="shared" si="22"/>
        <v>6.518049768398862E-2</v>
      </c>
      <c r="DA24" s="112">
        <f t="shared" si="23"/>
        <v>2.5343207117938263E-2</v>
      </c>
      <c r="DB24" s="55">
        <f t="shared" si="24"/>
        <v>-5.0125418235442863E-3</v>
      </c>
      <c r="DC24" s="133">
        <f t="shared" si="25"/>
        <v>2.0330665294393976E-2</v>
      </c>
      <c r="DD24" s="133"/>
      <c r="DE24" s="377">
        <f t="shared" si="68"/>
        <v>290.2461156752704</v>
      </c>
      <c r="DF24" s="240">
        <f t="shared" si="26"/>
        <v>203.17228097268926</v>
      </c>
      <c r="DG24" s="240">
        <f t="shared" si="69"/>
        <v>176.11448990749602</v>
      </c>
      <c r="DH24" s="148">
        <f t="shared" si="70"/>
        <v>82.816670378913557</v>
      </c>
      <c r="DI24" s="17">
        <f t="shared" si="53"/>
        <v>373.06278605418396</v>
      </c>
      <c r="DJ24" s="266">
        <f t="shared" si="54"/>
        <v>27.382497695420341</v>
      </c>
      <c r="DK24" s="135">
        <f t="shared" si="27"/>
        <v>345.68028835876362</v>
      </c>
      <c r="DL24" s="244">
        <f>'Mite Immigration'!C32</f>
        <v>5</v>
      </c>
      <c r="DM24" s="137">
        <f t="shared" si="55"/>
        <v>-44.584061458068064</v>
      </c>
      <c r="DN24" s="98">
        <f t="shared" si="63"/>
        <v>-39.584061458068064</v>
      </c>
      <c r="DO24" s="265">
        <f t="shared" si="28"/>
        <v>306.09622690069557</v>
      </c>
      <c r="DP24" s="392">
        <f>FD$32</f>
        <v>0</v>
      </c>
      <c r="DQ24" s="135">
        <f t="shared" si="56"/>
        <v>0</v>
      </c>
      <c r="DR24" s="95">
        <f t="shared" si="29"/>
        <v>306.09622690069557</v>
      </c>
      <c r="DS24" s="29">
        <f t="shared" si="30"/>
        <v>3.4961281125495116E-3</v>
      </c>
      <c r="DT24" s="271">
        <f t="shared" si="31"/>
        <v>40848</v>
      </c>
      <c r="DU24" s="89">
        <f t="shared" si="32"/>
        <v>177.39384105168517</v>
      </c>
      <c r="DV24" s="29">
        <f t="shared" si="33"/>
        <v>9.8552133917602872E-3</v>
      </c>
      <c r="DW24" s="145">
        <f t="shared" si="34"/>
        <v>3.1043922184044903</v>
      </c>
      <c r="DX24" s="494" t="str">
        <f t="shared" si="65"/>
        <v/>
      </c>
      <c r="DY24" s="494" t="str">
        <f t="shared" si="66"/>
        <v/>
      </c>
      <c r="DZ24" s="494">
        <f t="shared" si="71"/>
        <v>0</v>
      </c>
      <c r="EA24">
        <f t="shared" si="67"/>
        <v>0</v>
      </c>
      <c r="EB24" s="17">
        <f t="shared" si="57"/>
        <v>1539.84375</v>
      </c>
      <c r="EC24" s="18">
        <f t="shared" si="58"/>
        <v>-6000</v>
      </c>
      <c r="ED24" s="264">
        <f t="shared" si="59"/>
        <v>7539.84375</v>
      </c>
      <c r="EE24" s="264">
        <f t="shared" si="64"/>
        <v>495.77054794520546</v>
      </c>
      <c r="EF24" s="104">
        <f t="shared" si="60"/>
        <v>0.6</v>
      </c>
      <c r="EG24" s="263">
        <f t="shared" si="61"/>
        <v>44.584061458068064</v>
      </c>
      <c r="EI24" s="17">
        <f t="shared" si="62"/>
        <v>82.816670378913557</v>
      </c>
      <c r="EJ24" s="164">
        <f>FD$57</f>
        <v>57.368370907907725</v>
      </c>
      <c r="EK24" s="37">
        <f>FC$59</f>
        <v>0.14076698614513303</v>
      </c>
      <c r="EO24" s="2">
        <v>40848</v>
      </c>
      <c r="EP24" s="259">
        <v>43221</v>
      </c>
    </row>
    <row r="25" spans="1:163" ht="13" customHeight="1" x14ac:dyDescent="0.3">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E25" s="291"/>
      <c r="AF25" s="291"/>
      <c r="AG25" s="569" t="s">
        <v>203</v>
      </c>
      <c r="AH25" s="569"/>
      <c r="AI25" s="569"/>
      <c r="AJ25" s="569"/>
      <c r="AK25" s="569"/>
      <c r="AL25" s="569"/>
      <c r="AM25" s="569"/>
      <c r="AN25" s="569"/>
      <c r="AO25" s="569"/>
      <c r="AP25" s="569"/>
      <c r="AQ25" s="569"/>
      <c r="AR25" s="569"/>
      <c r="AS25" s="569"/>
      <c r="AT25" s="569"/>
      <c r="AU25" s="569"/>
      <c r="AV25" s="570"/>
      <c r="AW25" s="571" t="s">
        <v>146</v>
      </c>
      <c r="AX25" s="572"/>
      <c r="AZ25" s="405">
        <f t="shared" si="35"/>
        <v>40862</v>
      </c>
      <c r="BA25" s="59">
        <f t="shared" si="0"/>
        <v>306.09622690069557</v>
      </c>
      <c r="BB25" s="301">
        <f t="shared" si="36"/>
        <v>7.4077813671025805E-3</v>
      </c>
      <c r="BC25" s="233">
        <f t="shared" si="1"/>
        <v>0</v>
      </c>
      <c r="BD25" s="123">
        <f t="shared" si="37"/>
        <v>3.6724991408937666</v>
      </c>
      <c r="BE25" s="4">
        <f t="shared" si="2"/>
        <v>0.27363117129598447</v>
      </c>
      <c r="BF25" s="3">
        <f t="shared" si="3"/>
        <v>0.6475034610545829</v>
      </c>
      <c r="BG25" s="499" t="s">
        <v>342</v>
      </c>
      <c r="BH25" s="543" t="s">
        <v>343</v>
      </c>
      <c r="BI25" s="544"/>
      <c r="BJ25" s="544"/>
      <c r="BK25" s="544"/>
      <c r="BL25" s="545"/>
      <c r="BN25" s="511"/>
      <c r="BO25" s="271">
        <f t="shared" si="38"/>
        <v>40862</v>
      </c>
      <c r="BP25" s="375">
        <f>IF($AZ$31="d",'Colony Type'!H52,IF($AZ$31="n",'Colony Type'!H80,IF($AZ$31="p",'Colony Type'!H108,IF($AZ$31="a",'Colony Type'!H136,IF($AZ$31="b",'Colony Type'!H164,IF($AZ$31="c",'Colony Type'!H192,IF($AZ$31="r",'Colony Type'!H220,IF($AZ$31="s",'Colony Type'!H248,IF($AZ$31="f",'Colony Type'!H276,"error")))))))))</f>
        <v>8.5</v>
      </c>
      <c r="BQ25">
        <f t="shared" si="4"/>
        <v>17000</v>
      </c>
      <c r="BR25" s="81">
        <f>IF($AZ$31="d",'Colony Type'!F52,IF($AZ$31="n",'Colony Type'!F80,IF($AZ$31="p",'Colony Type'!F108,IF($AZ$31="a",'Colony Type'!F136,IF($AZ$31="b",'Colony Type'!F164,IF($AZ$31="c",'Colony Type'!F192,IF($AZ$31="r",'Colony Type'!F220,IF($AZ$31="s",'Colony Type'!F248,IF($AZ$31="f",'Colony Type'!F276,"error")))))))))</f>
        <v>0.125</v>
      </c>
      <c r="BS25" s="17">
        <f t="shared" si="5"/>
        <v>562.5</v>
      </c>
      <c r="BT25" s="21">
        <f t="shared" si="6"/>
        <v>3.3088235294117647E-2</v>
      </c>
      <c r="BU25">
        <f t="shared" si="39"/>
        <v>337.5</v>
      </c>
      <c r="BV25" s="18">
        <f t="shared" si="40"/>
        <v>92.350520312394764</v>
      </c>
      <c r="BW25" s="18">
        <f t="shared" si="7"/>
        <v>28.125</v>
      </c>
      <c r="BX25" s="141">
        <f t="shared" si="41"/>
        <v>22.04288744479889</v>
      </c>
      <c r="BY25" s="27">
        <f t="shared" si="8"/>
        <v>34.042887444798893</v>
      </c>
      <c r="BZ25" s="32">
        <f t="shared" si="9"/>
        <v>0.6475034610545829</v>
      </c>
      <c r="CA25" s="130">
        <f t="shared" si="10"/>
        <v>0.3524965389454171</v>
      </c>
      <c r="CB25" s="28">
        <f t="shared" si="11"/>
        <v>107.89786056674626</v>
      </c>
      <c r="CC25" s="255">
        <f t="shared" si="12"/>
        <v>337.5</v>
      </c>
      <c r="CD25" s="80">
        <f>IF($AZ$31="d",'Colony Type'!J52,IF($AZ$31="n",'Colony Type'!J80,IF($AZ$31="p",'Colony Type'!J108,IF($AZ$31="a",'Colony Type'!J136,IF($AZ$31="b",'Colony Type'!J164,IF($AZ$31="c",'Colony Type'!J192,IF($AZ$31="r",'Colony Type'!J220,IF($AZ$31="s",'Colony Type'!J220,IF($AZ$31="f",'Colony Type'!J276,"error")))))))))</f>
        <v>0</v>
      </c>
      <c r="CE25" s="106">
        <f t="shared" si="42"/>
        <v>0</v>
      </c>
      <c r="CF25" s="75">
        <f t="shared" si="43"/>
        <v>0</v>
      </c>
      <c r="CG25" s="102">
        <f t="shared" si="44"/>
        <v>0</v>
      </c>
      <c r="CH25" s="72">
        <f t="shared" si="13"/>
        <v>0</v>
      </c>
      <c r="CI25" s="73">
        <f t="shared" si="45"/>
        <v>0</v>
      </c>
      <c r="CJ25" s="356">
        <f t="shared" si="14"/>
        <v>0</v>
      </c>
      <c r="CK25" s="357">
        <f t="shared" si="46"/>
        <v>0</v>
      </c>
      <c r="CL25" s="73">
        <f t="shared" si="15"/>
        <v>37.042887444798893</v>
      </c>
      <c r="CM25" s="355">
        <v>1</v>
      </c>
      <c r="CN25" s="84">
        <f t="shared" si="16"/>
        <v>4.2749999999999995</v>
      </c>
      <c r="CO25" s="78">
        <f t="shared" si="47"/>
        <v>9.8493837450082944E-2</v>
      </c>
      <c r="CP25" s="103">
        <f t="shared" si="48"/>
        <v>0.3524965389454171</v>
      </c>
      <c r="CQ25" s="71">
        <f t="shared" si="49"/>
        <v>337.5</v>
      </c>
      <c r="CR25" s="71">
        <f t="shared" si="17"/>
        <v>107.89786056674626</v>
      </c>
      <c r="CS25" s="74">
        <f t="shared" si="18"/>
        <v>0.31969736464221116</v>
      </c>
      <c r="CT25" s="353">
        <f t="shared" si="19"/>
        <v>0.27363117129598447</v>
      </c>
      <c r="CU25" s="355">
        <f t="shared" si="50"/>
        <v>1.1683471396219656</v>
      </c>
      <c r="CV25" s="76">
        <f t="shared" si="20"/>
        <v>1</v>
      </c>
      <c r="CW25" s="74">
        <f t="shared" si="21"/>
        <v>34.042887444798893</v>
      </c>
      <c r="CX25" s="354">
        <v>1</v>
      </c>
      <c r="CY25" s="83">
        <f t="shared" si="51"/>
        <v>2.2586249999999999</v>
      </c>
      <c r="CZ25" s="79">
        <f t="shared" si="22"/>
        <v>6.518049768398862E-2</v>
      </c>
      <c r="DA25" s="112">
        <f t="shared" si="23"/>
        <v>2.2975899840345763E-2</v>
      </c>
      <c r="DB25" s="55">
        <f t="shared" si="24"/>
        <v>-5.0125418235442863E-3</v>
      </c>
      <c r="DC25" s="133">
        <f t="shared" si="25"/>
        <v>1.7963358016801476E-2</v>
      </c>
      <c r="DD25" s="133"/>
      <c r="DE25" s="377">
        <f t="shared" si="68"/>
        <v>306.09622690069557</v>
      </c>
      <c r="DF25" s="240">
        <f t="shared" si="26"/>
        <v>214.2673588304869</v>
      </c>
      <c r="DG25" s="240">
        <f t="shared" si="69"/>
        <v>184.10558849864151</v>
      </c>
      <c r="DH25" s="148">
        <f t="shared" si="70"/>
        <v>77.00253477666223</v>
      </c>
      <c r="DI25" s="17">
        <f t="shared" si="53"/>
        <v>383.0987616773578</v>
      </c>
      <c r="DJ25" s="266">
        <f t="shared" si="54"/>
        <v>28.119129945126815</v>
      </c>
      <c r="DK25" s="135">
        <f t="shared" si="27"/>
        <v>354.97963173223098</v>
      </c>
      <c r="DL25" s="244">
        <f>'Mite Immigration'!C33</f>
        <v>0</v>
      </c>
      <c r="DM25" s="137">
        <f t="shared" si="55"/>
        <v>-12.381022029307779</v>
      </c>
      <c r="DN25" s="98">
        <f t="shared" si="63"/>
        <v>-12.381022029307779</v>
      </c>
      <c r="DO25" s="265">
        <f t="shared" si="28"/>
        <v>342.59860970292323</v>
      </c>
      <c r="DP25" s="392">
        <f>FE$32</f>
        <v>0</v>
      </c>
      <c r="DQ25" s="135">
        <f t="shared" si="56"/>
        <v>0</v>
      </c>
      <c r="DR25" s="95">
        <f t="shared" si="29"/>
        <v>342.59860970292323</v>
      </c>
      <c r="DS25" s="29">
        <f t="shared" si="30"/>
        <v>7.4077813671025805E-3</v>
      </c>
      <c r="DT25" s="271">
        <f t="shared" si="31"/>
        <v>40862</v>
      </c>
      <c r="DU25" s="89">
        <f t="shared" si="32"/>
        <v>198.19836633394931</v>
      </c>
      <c r="DV25" s="29">
        <f t="shared" si="33"/>
        <v>1.1658727431408783E-2</v>
      </c>
      <c r="DW25" s="145">
        <f t="shared" si="34"/>
        <v>3.6724991408937666</v>
      </c>
      <c r="DX25" s="494" t="str">
        <f t="shared" si="65"/>
        <v/>
      </c>
      <c r="DY25" s="494" t="str">
        <f t="shared" si="66"/>
        <v/>
      </c>
      <c r="DZ25" s="494">
        <f t="shared" si="71"/>
        <v>0</v>
      </c>
      <c r="EA25">
        <f t="shared" si="67"/>
        <v>0</v>
      </c>
      <c r="EB25" s="17">
        <f t="shared" si="57"/>
        <v>769.921875</v>
      </c>
      <c r="EC25" s="18">
        <f t="shared" si="58"/>
        <v>-1000</v>
      </c>
      <c r="ED25" s="264">
        <f t="shared" si="59"/>
        <v>1769.921875</v>
      </c>
      <c r="EE25" s="264">
        <f t="shared" si="64"/>
        <v>116.37842465753424</v>
      </c>
      <c r="EF25" s="104">
        <f t="shared" si="60"/>
        <v>0.6</v>
      </c>
      <c r="EG25" s="263">
        <f t="shared" si="61"/>
        <v>12.381022029307779</v>
      </c>
      <c r="EI25" s="17">
        <f t="shared" si="62"/>
        <v>77.00253477666223</v>
      </c>
      <c r="EJ25" s="164">
        <f>FE$57</f>
        <v>74.97921078718656</v>
      </c>
      <c r="EK25" s="37">
        <f>FD$59</f>
        <v>0.15775823331978117</v>
      </c>
      <c r="EO25" s="2">
        <v>40862</v>
      </c>
      <c r="EP25" s="259">
        <v>43235</v>
      </c>
      <c r="ES25">
        <v>17.954999999999998</v>
      </c>
    </row>
    <row r="26" spans="1:163" ht="13" customHeight="1" x14ac:dyDescent="0.3">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F26" s="417"/>
      <c r="AG26" s="6"/>
      <c r="AU26" s="376"/>
      <c r="AZ26" s="405">
        <f t="shared" si="35"/>
        <v>40878</v>
      </c>
      <c r="BA26" s="59">
        <f t="shared" si="0"/>
        <v>342.59860970292323</v>
      </c>
      <c r="BB26" s="301">
        <f t="shared" si="36"/>
        <v>7.8323792108036701E-3</v>
      </c>
      <c r="BC26" s="233">
        <f t="shared" si="1"/>
        <v>0</v>
      </c>
      <c r="BD26" s="123">
        <f t="shared" si="37"/>
        <v>4.2986535678448243</v>
      </c>
      <c r="BE26" s="4">
        <f t="shared" si="2"/>
        <v>0.35268988343023344</v>
      </c>
      <c r="BF26" s="3">
        <f t="shared" si="3"/>
        <v>0.65723433038662893</v>
      </c>
      <c r="BG26" s="498"/>
      <c r="BH26" s="546"/>
      <c r="BI26" s="547"/>
      <c r="BJ26" s="547"/>
      <c r="BK26" s="547"/>
      <c r="BL26" s="548"/>
      <c r="BN26" s="511"/>
      <c r="BO26" s="271">
        <f t="shared" si="38"/>
        <v>40878</v>
      </c>
      <c r="BP26" s="375">
        <f>IF($AZ$31="d",'Colony Type'!H53,IF($AZ$31="n",'Colony Type'!H81,IF($AZ$31="p",'Colony Type'!H109,IF($AZ$31="a",'Colony Type'!H137,IF($AZ$31="b",'Colony Type'!H165,IF($AZ$31="c",'Colony Type'!H193,IF($AZ$31="r",'Colony Type'!H221,IF($AZ$31="s",'Colony Type'!H249,IF($AZ$31="f",'Colony Type'!H277,"error")))))))))</f>
        <v>8.25</v>
      </c>
      <c r="BQ26">
        <f t="shared" si="4"/>
        <v>16500</v>
      </c>
      <c r="BR26" s="81">
        <f>IF($AZ$31="d",'Colony Type'!F53,IF($AZ$31="n",'Colony Type'!F81,IF($AZ$31="p",'Colony Type'!F109,IF($AZ$31="a",'Colony Type'!F137,IF($AZ$31="b",'Colony Type'!F165,IF($AZ$31="c",'Colony Type'!F193,IF($AZ$31="r",'Colony Type'!F221,IF($AZ$31="s",'Colony Type'!F249,IF($AZ$31="f",'Colony Type'!F277,"error")))))))))</f>
        <v>0.1</v>
      </c>
      <c r="BS26" s="17">
        <f t="shared" si="5"/>
        <v>450</v>
      </c>
      <c r="BT26" s="21">
        <f t="shared" si="6"/>
        <v>2.7272727272727271E-2</v>
      </c>
      <c r="BU26">
        <f t="shared" si="39"/>
        <v>270</v>
      </c>
      <c r="BV26" s="18">
        <f t="shared" si="40"/>
        <v>95.226268526163025</v>
      </c>
      <c r="BW26" s="18">
        <f t="shared" si="7"/>
        <v>22.5</v>
      </c>
      <c r="BX26" s="141">
        <f t="shared" si="41"/>
        <v>23.009340385621535</v>
      </c>
      <c r="BY26" s="27">
        <f t="shared" si="8"/>
        <v>35.009340385621535</v>
      </c>
      <c r="BZ26" s="32">
        <f t="shared" si="9"/>
        <v>0.65723433038662893</v>
      </c>
      <c r="CA26" s="130">
        <f t="shared" si="10"/>
        <v>0.34276566961337107</v>
      </c>
      <c r="CB26" s="28">
        <f t="shared" si="11"/>
        <v>117.43104186343244</v>
      </c>
      <c r="CC26" s="255">
        <f t="shared" si="12"/>
        <v>270</v>
      </c>
      <c r="CD26" s="80">
        <f>IF($AZ$31="d",'Colony Type'!J53,IF($AZ$31="n",'Colony Type'!J81,IF($AZ$31="p",'Colony Type'!J109,IF($AZ$31="a",'Colony Type'!J137,IF($AZ$31="b",'Colony Type'!J165,IF($AZ$31="c",'Colony Type'!J193,IF($AZ$31="r",'Colony Type'!J221,IF($AZ$31="s",'Colony Type'!J221,IF($AZ$31="f",'Colony Type'!J277,"error")))))))))</f>
        <v>0</v>
      </c>
      <c r="CE26" s="106">
        <f t="shared" si="42"/>
        <v>0</v>
      </c>
      <c r="CF26" s="75">
        <f t="shared" si="43"/>
        <v>0</v>
      </c>
      <c r="CG26" s="102">
        <f t="shared" si="44"/>
        <v>0</v>
      </c>
      <c r="CH26" s="72">
        <f t="shared" si="13"/>
        <v>0</v>
      </c>
      <c r="CI26" s="73">
        <f t="shared" si="45"/>
        <v>0</v>
      </c>
      <c r="CJ26" s="356">
        <f t="shared" si="14"/>
        <v>0</v>
      </c>
      <c r="CK26" s="357">
        <f t="shared" si="46"/>
        <v>0</v>
      </c>
      <c r="CL26" s="73">
        <f t="shared" si="15"/>
        <v>38.009340385621535</v>
      </c>
      <c r="CM26" s="355">
        <v>1</v>
      </c>
      <c r="CN26" s="84">
        <f t="shared" si="16"/>
        <v>4.2749999999999995</v>
      </c>
      <c r="CO26" s="78">
        <f t="shared" si="47"/>
        <v>9.8493837450082944E-2</v>
      </c>
      <c r="CP26" s="103">
        <f t="shared" si="48"/>
        <v>0.34276566961337107</v>
      </c>
      <c r="CQ26" s="71">
        <f t="shared" si="49"/>
        <v>270</v>
      </c>
      <c r="CR26" s="71">
        <f t="shared" si="17"/>
        <v>117.43104186343244</v>
      </c>
      <c r="CS26" s="74">
        <f t="shared" si="18"/>
        <v>0.43492978467937943</v>
      </c>
      <c r="CT26" s="353">
        <f t="shared" si="19"/>
        <v>0.35268988343023344</v>
      </c>
      <c r="CU26" s="355">
        <f t="shared" si="50"/>
        <v>1.2331755798428905</v>
      </c>
      <c r="CV26" s="76">
        <f t="shared" si="20"/>
        <v>1</v>
      </c>
      <c r="CW26" s="74">
        <f t="shared" si="21"/>
        <v>35.009340385621535</v>
      </c>
      <c r="CX26" s="354">
        <v>1</v>
      </c>
      <c r="CY26" s="83">
        <f t="shared" si="51"/>
        <v>2.2586249999999999</v>
      </c>
      <c r="CZ26" s="79">
        <f t="shared" si="22"/>
        <v>6.518049768398862E-2</v>
      </c>
      <c r="DA26" s="112">
        <f t="shared" si="23"/>
        <v>2.234163693438514E-2</v>
      </c>
      <c r="DB26" s="55">
        <f t="shared" si="24"/>
        <v>-5.0125418235442863E-3</v>
      </c>
      <c r="DC26" s="133">
        <f t="shared" si="25"/>
        <v>1.7329095110840853E-2</v>
      </c>
      <c r="DD26" s="133"/>
      <c r="DE26" s="377">
        <f t="shared" si="68"/>
        <v>342.59860970292323</v>
      </c>
      <c r="DF26" s="240">
        <f t="shared" si="26"/>
        <v>239.81902679204623</v>
      </c>
      <c r="DG26" s="240">
        <f t="shared" si="69"/>
        <v>201.98560080886375</v>
      </c>
      <c r="DH26" s="148">
        <f t="shared" si="70"/>
        <v>81.73089161439367</v>
      </c>
      <c r="DI26" s="17">
        <f t="shared" si="53"/>
        <v>424.3295013173169</v>
      </c>
      <c r="DJ26" s="266">
        <f t="shared" si="54"/>
        <v>31.145431885110952</v>
      </c>
      <c r="DK26" s="135">
        <f t="shared" si="27"/>
        <v>393.18406943220594</v>
      </c>
      <c r="DL26" s="244">
        <f>'Mite Immigration'!C34</f>
        <v>0</v>
      </c>
      <c r="DM26" s="137">
        <f t="shared" si="55"/>
        <v>-7.2459818883574769</v>
      </c>
      <c r="DN26" s="98">
        <f t="shared" si="63"/>
        <v>-7.2459818883574769</v>
      </c>
      <c r="DO26" s="265">
        <f t="shared" si="28"/>
        <v>385.9380875438485</v>
      </c>
      <c r="DP26" s="392">
        <f>FF$32</f>
        <v>0</v>
      </c>
      <c r="DQ26" s="135">
        <f t="shared" si="56"/>
        <v>0</v>
      </c>
      <c r="DR26" s="95">
        <f t="shared" si="29"/>
        <v>385.9380875438485</v>
      </c>
      <c r="DS26" s="29">
        <f t="shared" si="30"/>
        <v>7.8323792108036701E-3</v>
      </c>
      <c r="DT26" s="271">
        <f t="shared" si="31"/>
        <v>40878</v>
      </c>
      <c r="DU26" s="89">
        <f t="shared" si="32"/>
        <v>225.16756783949077</v>
      </c>
      <c r="DV26" s="29">
        <f t="shared" si="33"/>
        <v>1.3646519262999441E-2</v>
      </c>
      <c r="DW26" s="145">
        <f t="shared" si="34"/>
        <v>4.2986535678448243</v>
      </c>
      <c r="DX26" s="494" t="str">
        <f t="shared" si="65"/>
        <v/>
      </c>
      <c r="DY26" s="494" t="str">
        <f t="shared" si="66"/>
        <v/>
      </c>
      <c r="DZ26" s="494">
        <f t="shared" si="71"/>
        <v>0</v>
      </c>
      <c r="EA26">
        <f t="shared" si="67"/>
        <v>0</v>
      </c>
      <c r="EB26" s="17">
        <f t="shared" si="57"/>
        <v>384.9609375</v>
      </c>
      <c r="EC26" s="18">
        <f t="shared" si="58"/>
        <v>-500</v>
      </c>
      <c r="ED26" s="264">
        <f t="shared" si="59"/>
        <v>884.9609375</v>
      </c>
      <c r="EE26" s="264">
        <f t="shared" si="64"/>
        <v>58.18921232876712</v>
      </c>
      <c r="EF26" s="104">
        <f t="shared" si="60"/>
        <v>0.6</v>
      </c>
      <c r="EG26" s="263">
        <f t="shared" si="61"/>
        <v>7.2459818883574769</v>
      </c>
      <c r="EI26" s="17">
        <f t="shared" si="62"/>
        <v>81.73089161439367</v>
      </c>
      <c r="EJ26" s="164">
        <f>FF$57</f>
        <v>113.19398331045892</v>
      </c>
      <c r="EK26" s="37">
        <f>FE$59</f>
        <v>0.18097344155789835</v>
      </c>
      <c r="EO26" s="2">
        <v>40878</v>
      </c>
      <c r="EP26" s="259">
        <v>43252</v>
      </c>
    </row>
    <row r="27" spans="1:163" ht="13" customHeight="1" x14ac:dyDescent="0.3">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F27" s="417"/>
      <c r="AX27" s="242"/>
      <c r="AZ27" s="405">
        <f t="shared" si="35"/>
        <v>40892</v>
      </c>
      <c r="BA27" s="59">
        <f t="shared" si="0"/>
        <v>385.9380875438485</v>
      </c>
      <c r="BB27" s="301">
        <f t="shared" si="36"/>
        <v>-7.198544460359068E-3</v>
      </c>
      <c r="BC27" s="233">
        <f t="shared" si="1"/>
        <v>0</v>
      </c>
      <c r="BD27" s="123">
        <f t="shared" si="37"/>
        <v>7.5981560985195173</v>
      </c>
      <c r="BE27" s="4" t="str">
        <f t="shared" si="2"/>
        <v>n/a</v>
      </c>
      <c r="BF27" s="3">
        <f t="shared" si="3"/>
        <v>1</v>
      </c>
      <c r="BL27" s="37"/>
      <c r="BN27" s="511"/>
      <c r="BO27" s="271">
        <f t="shared" si="38"/>
        <v>40892</v>
      </c>
      <c r="BP27" s="375">
        <f>IF($AZ$31="d",'Colony Type'!H54,IF($AZ$31="n",'Colony Type'!H82,IF($AZ$31="p",'Colony Type'!H110,IF($AZ$31="a",'Colony Type'!H138,IF($AZ$31="b",'Colony Type'!H166,IF($AZ$31="c",'Colony Type'!H194,IF($AZ$31="r",'Colony Type'!H222,IF($AZ$31="s",'Colony Type'!H250,IF($AZ$31="f",'Colony Type'!H278,"error")))))))))</f>
        <v>8</v>
      </c>
      <c r="BQ27">
        <f t="shared" si="4"/>
        <v>16000</v>
      </c>
      <c r="BR27" s="81">
        <f>IF($AZ$31="d",'Colony Type'!F54,IF($AZ$31="n",'Colony Type'!F82,IF($AZ$31="p",'Colony Type'!F110,IF($AZ$31="a",'Colony Type'!F138,IF($AZ$31="b",'Colony Type'!F166,IF($AZ$31="c",'Colony Type'!F194,IF($AZ$31="r",'Colony Type'!F222,IF($AZ$31="s",'Colony Type'!F250,IF($AZ$31="f",'Colony Type'!F278,"error")))))))))</f>
        <v>0</v>
      </c>
      <c r="BS27" s="17">
        <f t="shared" si="5"/>
        <v>1</v>
      </c>
      <c r="BT27" s="21">
        <f t="shared" si="6"/>
        <v>6.2500000000000001E-5</v>
      </c>
      <c r="BU27">
        <f t="shared" si="39"/>
        <v>0.6</v>
      </c>
      <c r="BV27" s="18">
        <f t="shared" si="40"/>
        <v>0</v>
      </c>
      <c r="BW27" s="18">
        <f t="shared" si="7"/>
        <v>0.05</v>
      </c>
      <c r="BX27" s="141">
        <f t="shared" si="41"/>
        <v>53.401720006109592</v>
      </c>
      <c r="BY27" s="27">
        <f t="shared" si="8"/>
        <v>65.401720006109599</v>
      </c>
      <c r="BZ27" s="32">
        <f t="shared" si="9"/>
        <v>1</v>
      </c>
      <c r="CA27" s="130">
        <f t="shared" si="10"/>
        <v>0</v>
      </c>
      <c r="CB27" s="28">
        <f t="shared" si="11"/>
        <v>0</v>
      </c>
      <c r="CC27" s="255">
        <f t="shared" si="12"/>
        <v>0.6</v>
      </c>
      <c r="CD27" s="80">
        <f>IF($AZ$31="d",'Colony Type'!J54,IF($AZ$31="n",'Colony Type'!J82,IF($AZ$31="p",'Colony Type'!J110,IF($AZ$31="a",'Colony Type'!J138,IF($AZ$31="b",'Colony Type'!J166,IF($AZ$31="c",'Colony Type'!J194,IF($AZ$31="r",'Colony Type'!J222,IF($AZ$31="s",'Colony Type'!J222,IF($AZ$31="f",'Colony Type'!J278,"error")))))))))</f>
        <v>0</v>
      </c>
      <c r="CE27" s="106">
        <f t="shared" si="42"/>
        <v>0</v>
      </c>
      <c r="CF27" s="75">
        <f t="shared" si="43"/>
        <v>0</v>
      </c>
      <c r="CG27" s="102">
        <f t="shared" si="44"/>
        <v>0</v>
      </c>
      <c r="CH27" s="72">
        <f t="shared" si="13"/>
        <v>0</v>
      </c>
      <c r="CI27" s="73">
        <f t="shared" si="45"/>
        <v>0</v>
      </c>
      <c r="CJ27" s="356">
        <f t="shared" si="14"/>
        <v>0</v>
      </c>
      <c r="CK27" s="357">
        <f t="shared" si="46"/>
        <v>0</v>
      </c>
      <c r="CL27" s="73">
        <f t="shared" si="15"/>
        <v>68.401720006109599</v>
      </c>
      <c r="CM27" s="355">
        <v>1</v>
      </c>
      <c r="CN27" s="84">
        <f t="shared" si="16"/>
        <v>4.2749999999999995</v>
      </c>
      <c r="CO27" s="78">
        <f t="shared" si="47"/>
        <v>9.8493837450082944E-2</v>
      </c>
      <c r="CP27" s="103">
        <f t="shared" si="48"/>
        <v>0</v>
      </c>
      <c r="CQ27" s="71">
        <f t="shared" si="49"/>
        <v>0.6</v>
      </c>
      <c r="CR27" s="71">
        <f t="shared" si="17"/>
        <v>0</v>
      </c>
      <c r="CS27" s="74">
        <f t="shared" si="18"/>
        <v>0</v>
      </c>
      <c r="CT27" s="353">
        <f t="shared" si="19"/>
        <v>0</v>
      </c>
      <c r="CU27" s="355">
        <f t="shared" si="50"/>
        <v>0</v>
      </c>
      <c r="CV27" s="76">
        <f t="shared" si="20"/>
        <v>1</v>
      </c>
      <c r="CW27" s="74">
        <f t="shared" si="21"/>
        <v>65.401720006109599</v>
      </c>
      <c r="CX27" s="354">
        <v>1</v>
      </c>
      <c r="CY27" s="83">
        <f t="shared" si="51"/>
        <v>2.2586249999999999</v>
      </c>
      <c r="CZ27" s="79">
        <f t="shared" si="22"/>
        <v>0</v>
      </c>
      <c r="DA27" s="112">
        <f t="shared" si="23"/>
        <v>0</v>
      </c>
      <c r="DB27" s="55">
        <f t="shared" si="24"/>
        <v>-5.0125418235442863E-3</v>
      </c>
      <c r="DC27" s="133">
        <f t="shared" si="25"/>
        <v>-5.0125418235442863E-3</v>
      </c>
      <c r="DD27" s="133"/>
      <c r="DE27" s="377">
        <f t="shared" si="68"/>
        <v>385.9380875438485</v>
      </c>
      <c r="DF27" s="240">
        <f t="shared" si="26"/>
        <v>270.15666128069392</v>
      </c>
      <c r="DG27" s="240">
        <f t="shared" si="69"/>
        <v>221.26548052893534</v>
      </c>
      <c r="DH27" s="148">
        <f t="shared" si="70"/>
        <v>0</v>
      </c>
      <c r="DI27" s="17">
        <f t="shared" si="53"/>
        <v>385.9380875438485</v>
      </c>
      <c r="DJ27" s="266">
        <f t="shared" si="54"/>
        <v>28.327534098266938</v>
      </c>
      <c r="DK27" s="135">
        <f t="shared" si="27"/>
        <v>357.61055344558156</v>
      </c>
      <c r="DL27" s="244">
        <f>'Mite Immigration'!C35</f>
        <v>0</v>
      </c>
      <c r="DM27" s="137">
        <f t="shared" si="55"/>
        <v>-11.69347178138227</v>
      </c>
      <c r="DN27" s="98">
        <f t="shared" si="63"/>
        <v>-11.69347178138227</v>
      </c>
      <c r="DO27" s="265">
        <f t="shared" si="28"/>
        <v>345.91708166419932</v>
      </c>
      <c r="DP27" s="392">
        <f>FG$32</f>
        <v>0</v>
      </c>
      <c r="DQ27" s="135">
        <f t="shared" si="56"/>
        <v>0</v>
      </c>
      <c r="DR27" s="95">
        <f t="shared" si="29"/>
        <v>345.91708166419932</v>
      </c>
      <c r="DS27" s="29">
        <f t="shared" si="30"/>
        <v>-7.198544460359068E-3</v>
      </c>
      <c r="DT27" s="271">
        <f t="shared" si="31"/>
        <v>40892</v>
      </c>
      <c r="DU27" s="89">
        <f t="shared" si="32"/>
        <v>385.9380875438485</v>
      </c>
      <c r="DV27" s="29">
        <f t="shared" si="33"/>
        <v>2.4121130471490532E-2</v>
      </c>
      <c r="DW27" s="145">
        <f t="shared" si="34"/>
        <v>7.5981560985195173</v>
      </c>
      <c r="DX27" s="494" t="str">
        <f t="shared" si="65"/>
        <v/>
      </c>
      <c r="DY27" s="494" t="str">
        <f t="shared" si="66"/>
        <v/>
      </c>
      <c r="DZ27" s="494">
        <f t="shared" si="71"/>
        <v>0</v>
      </c>
      <c r="EA27">
        <f t="shared" si="67"/>
        <v>0</v>
      </c>
      <c r="EB27" s="17">
        <f t="shared" si="57"/>
        <v>307.96875</v>
      </c>
      <c r="EC27" s="18">
        <f t="shared" si="58"/>
        <v>-500</v>
      </c>
      <c r="ED27" s="264">
        <f t="shared" si="59"/>
        <v>807.96875</v>
      </c>
      <c r="EE27" s="264">
        <f t="shared" si="64"/>
        <v>53.12671232876712</v>
      </c>
      <c r="EF27" s="104">
        <f t="shared" si="60"/>
        <v>0.6</v>
      </c>
      <c r="EG27" s="263">
        <f t="shared" si="61"/>
        <v>11.69347178138227</v>
      </c>
      <c r="EI27" s="17">
        <f t="shared" si="62"/>
        <v>0</v>
      </c>
      <c r="EJ27" s="164">
        <f>FG$57</f>
        <v>162.38518061463259</v>
      </c>
      <c r="EK27" s="37">
        <f>FF$59</f>
        <v>0.24288859077663671</v>
      </c>
      <c r="EO27" s="2">
        <v>40892</v>
      </c>
      <c r="EP27" s="259">
        <v>43266</v>
      </c>
      <c r="ES27">
        <v>11.025</v>
      </c>
    </row>
    <row r="28" spans="1:163" ht="12.75" customHeight="1" x14ac:dyDescent="0.3">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F28" s="417"/>
      <c r="AG28" s="243"/>
      <c r="AI28" s="159"/>
      <c r="AJ28" s="159"/>
      <c r="AK28" s="159"/>
      <c r="AL28" s="159"/>
      <c r="AM28" s="159"/>
      <c r="AN28" s="159"/>
      <c r="AO28" s="159"/>
      <c r="AP28" s="159"/>
      <c r="AQ28" s="159"/>
      <c r="AR28" s="159"/>
      <c r="AS28" s="159"/>
      <c r="AT28" s="159"/>
      <c r="AU28" s="159"/>
      <c r="AV28" s="159"/>
      <c r="AW28" s="159"/>
      <c r="AX28" s="159"/>
      <c r="AZ28" s="405">
        <f t="shared" si="35"/>
        <v>40908</v>
      </c>
      <c r="BA28" s="59">
        <f>IF(EA27&gt;0,"",DE28)</f>
        <v>345.91708166419932</v>
      </c>
      <c r="BB28" s="301">
        <f>IF(EA28&gt;0,"",DS28)</f>
        <v>8.2783445227279442E-3</v>
      </c>
      <c r="BC28" s="233">
        <f t="shared" si="1"/>
        <v>0</v>
      </c>
      <c r="BD28" s="123">
        <f>IF(EA28&gt;0,"",DW28)</f>
        <v>4.3880883852641848</v>
      </c>
      <c r="BE28" s="4">
        <f t="shared" si="2"/>
        <v>0.30547942326638677</v>
      </c>
      <c r="BF28" s="3">
        <f t="shared" si="3"/>
        <v>0.6443365792185789</v>
      </c>
      <c r="BI28" s="64"/>
      <c r="BJ28" s="64"/>
      <c r="BK28" s="91"/>
      <c r="BL28" s="91"/>
      <c r="BO28" s="271">
        <f t="shared" si="38"/>
        <v>40908</v>
      </c>
      <c r="BP28" s="375">
        <f>IF($AZ$31="d",'Colony Type'!H55,IF($AZ$31="n",'Colony Type'!H83,IF($AZ$31="p",'Colony Type'!H111,IF($AZ$31="a",'Colony Type'!H139,IF($AZ$31="b",'Colony Type'!H167,IF($AZ$31="c",'Colony Type'!H195,IF($AZ$31="r",'Colony Type'!H223,IF($AZ$31="s",'Colony Type'!H251,IF($AZ$31="f",'Colony Type'!H279,"error")))))))))</f>
        <v>8</v>
      </c>
      <c r="BQ28">
        <f>BP28*$BP$44</f>
        <v>16000</v>
      </c>
      <c r="BR28" s="81">
        <f>IF($AZ$31="d",'Colony Type'!F55,IF($AZ$31="n",'Colony Type'!F83,IF($AZ$31="p",'Colony Type'!F111,IF($AZ$31="a",'Colony Type'!F139,IF($AZ$31="b",'Colony Type'!F167,IF($AZ$31="c",'Colony Type'!F195,IF($AZ$31="r",'Colony Type'!F223,IF($AZ$31="s",'Colony Type'!F251,IF($AZ$31="f",'Colony Type'!F279,"error")))))))))</f>
        <v>0.125</v>
      </c>
      <c r="BS28" s="17">
        <f>IF(BR28=0,1,$BP$43*BR28)</f>
        <v>562.5</v>
      </c>
      <c r="BT28" s="21">
        <f>IF(BQ28=0,0,BS28/BQ28)</f>
        <v>3.515625E-2</v>
      </c>
      <c r="BU28">
        <f>BS28*12/20</f>
        <v>337.5</v>
      </c>
      <c r="BV28" s="18">
        <f>CT28*BU28</f>
        <v>103.09930535240554</v>
      </c>
      <c r="BW28" s="18">
        <f>BS28/20</f>
        <v>28.125</v>
      </c>
      <c r="BX28" s="141">
        <f>IF(BT28=0,0.001,(-$BP$42*LN(BT28))+$BP$41)</f>
        <v>21.739764335716714</v>
      </c>
      <c r="BY28" s="27">
        <f>BX28+12</f>
        <v>33.739764335716714</v>
      </c>
      <c r="BZ28" s="32">
        <f>IF(BR28=0,1,BX28/BY28)</f>
        <v>0.6443365792185789</v>
      </c>
      <c r="CA28" s="130">
        <f>1-BZ28</f>
        <v>0.3556634207814211</v>
      </c>
      <c r="CB28" s="28">
        <f t="shared" si="11"/>
        <v>123.03005257141533</v>
      </c>
      <c r="CC28" s="255">
        <f>0.6*BS28</f>
        <v>337.5</v>
      </c>
      <c r="CD28" s="80">
        <f>IF($AZ$31="d",'Colony Type'!J55,IF($AZ$31="n",'Colony Type'!J83,IF($AZ$31="p",'Colony Type'!J111,IF($AZ$31="a",'Colony Type'!I139,IF($AZ$31="b",'Colony Type'!J167,IF($AZ$31="c",'Colony Type'!J195,IF($AZ$31="r",'Colony Type'!J223,IF($AZ$31="s",'Colony Type'!J223,IF($AZ$31="f",'Colony Type'!J279,"error")))))))))</f>
        <v>0</v>
      </c>
      <c r="CE28" s="106">
        <f t="shared" si="42"/>
        <v>0</v>
      </c>
      <c r="CF28" s="75">
        <f t="shared" si="43"/>
        <v>0</v>
      </c>
      <c r="CG28" s="102">
        <f>CF28*CA28</f>
        <v>0</v>
      </c>
      <c r="CH28" s="72">
        <f>CF28*CB28</f>
        <v>0</v>
      </c>
      <c r="CI28" s="73">
        <f>IF(CE28=0,0,CH28/(CC28*CE28))</f>
        <v>0</v>
      </c>
      <c r="CJ28" s="356">
        <f t="shared" si="14"/>
        <v>0</v>
      </c>
      <c r="CK28" s="357">
        <f>IF(CJ28=0,0,CI28/CJ28)</f>
        <v>0</v>
      </c>
      <c r="CL28" s="73">
        <f>BX28+15</f>
        <v>36.739764335716714</v>
      </c>
      <c r="CM28" s="355">
        <v>1</v>
      </c>
      <c r="CN28" s="84">
        <f>(1+($BP$31*CM28))*$BP$46</f>
        <v>4.2749999999999995</v>
      </c>
      <c r="CO28" s="78">
        <f>LN(CN28)/14.75</f>
        <v>9.8493837450082944E-2</v>
      </c>
      <c r="CP28" s="103">
        <f>1-BZ28-CG28</f>
        <v>0.3556634207814211</v>
      </c>
      <c r="CQ28" s="71">
        <f>(1-CE28)*CC28</f>
        <v>337.5</v>
      </c>
      <c r="CR28" s="71">
        <f>CB28-CH28</f>
        <v>123.03005257141533</v>
      </c>
      <c r="CS28" s="74">
        <f>CR28/CQ28</f>
        <v>0.36453348910048983</v>
      </c>
      <c r="CT28" s="353">
        <f t="shared" si="19"/>
        <v>0.30547942326638677</v>
      </c>
      <c r="CU28" s="355">
        <f t="shared" si="50"/>
        <v>1.1933121121238177</v>
      </c>
      <c r="CV28" s="76">
        <f t="shared" si="20"/>
        <v>1</v>
      </c>
      <c r="CW28" s="74">
        <f t="shared" si="21"/>
        <v>33.739764335716714</v>
      </c>
      <c r="CX28" s="354">
        <v>1</v>
      </c>
      <c r="CY28" s="83">
        <f t="shared" si="51"/>
        <v>2.2586249999999999</v>
      </c>
      <c r="CZ28" s="79">
        <f t="shared" si="22"/>
        <v>6.518049768398862E-2</v>
      </c>
      <c r="DA28" s="112">
        <f t="shared" si="23"/>
        <v>2.3182318774522887E-2</v>
      </c>
      <c r="DB28" s="55">
        <f t="shared" si="24"/>
        <v>-5.0125418235442863E-3</v>
      </c>
      <c r="DC28" s="133">
        <f>DA28+DB28</f>
        <v>1.81697769509786E-2</v>
      </c>
      <c r="DD28" s="133"/>
      <c r="DE28" s="377">
        <f t="shared" si="68"/>
        <v>345.91708166419932</v>
      </c>
      <c r="DF28" s="240">
        <f t="shared" si="26"/>
        <v>242.1419571649395</v>
      </c>
      <c r="DG28" s="240">
        <f t="shared" si="69"/>
        <v>183.32843842125061</v>
      </c>
      <c r="DH28" s="148">
        <f t="shared" si="70"/>
        <v>77.495006203061394</v>
      </c>
      <c r="DI28" s="17">
        <f>DE28+DH28</f>
        <v>423.41208786726071</v>
      </c>
      <c r="DJ28" s="266">
        <f>DI28-DK28</f>
        <v>31.078094502179738</v>
      </c>
      <c r="DK28" s="135">
        <f t="shared" si="27"/>
        <v>392.33399336508097</v>
      </c>
      <c r="DL28" s="244">
        <f>'Mite Immigration'!C36</f>
        <v>0</v>
      </c>
      <c r="DM28" s="137">
        <f>IF(EG28&gt;DU28*EF28,-DU28*EF28,-EG28)</f>
        <v>-5.7201866450765264E-3</v>
      </c>
      <c r="DN28" s="98">
        <f t="shared" si="63"/>
        <v>-5.7201866450765264E-3</v>
      </c>
      <c r="DO28" s="265">
        <f t="shared" si="28"/>
        <v>392.32827317843589</v>
      </c>
      <c r="DP28" s="392"/>
      <c r="DQ28" s="135"/>
      <c r="DR28" s="95">
        <f t="shared" si="29"/>
        <v>392.32827317843589</v>
      </c>
      <c r="DS28" s="29">
        <f t="shared" si="30"/>
        <v>8.2783445227279442E-3</v>
      </c>
      <c r="DT28" s="271">
        <f t="shared" si="31"/>
        <v>40908</v>
      </c>
      <c r="DU28" s="89">
        <f t="shared" si="32"/>
        <v>222.88702909278399</v>
      </c>
      <c r="DV28" s="29">
        <f t="shared" si="33"/>
        <v>1.3930439318298999E-2</v>
      </c>
      <c r="DW28" s="145">
        <f>DV28*315</f>
        <v>4.3880883852641848</v>
      </c>
      <c r="DX28" s="494" t="str">
        <f t="shared" si="65"/>
        <v/>
      </c>
      <c r="DY28" s="494" t="str">
        <f t="shared" si="66"/>
        <v/>
      </c>
      <c r="DZ28" s="494">
        <f t="shared" si="71"/>
        <v>0</v>
      </c>
      <c r="EA28">
        <f t="shared" si="67"/>
        <v>0</v>
      </c>
      <c r="EB28" s="17">
        <f t="shared" si="57"/>
        <v>0.68437499999999996</v>
      </c>
      <c r="EC28" s="18">
        <f t="shared" si="58"/>
        <v>0</v>
      </c>
      <c r="ED28" s="264">
        <f>EB28-EC28</f>
        <v>0.68437499999999996</v>
      </c>
      <c r="EE28" s="264">
        <f t="shared" si="64"/>
        <v>4.4999999999999998E-2</v>
      </c>
      <c r="EF28" s="104">
        <f>IF(DV28&gt;0.15,1,$BP$35)</f>
        <v>0.6</v>
      </c>
      <c r="EG28" s="263">
        <f>ED28*EF28*DV28</f>
        <v>5.7201866450765264E-3</v>
      </c>
      <c r="EI28" s="17">
        <f t="shared" si="62"/>
        <v>77.495006203061394</v>
      </c>
      <c r="EJ28" s="164">
        <f>FG$57</f>
        <v>162.38518061463259</v>
      </c>
      <c r="EK28" s="37">
        <f>FF$59</f>
        <v>0.24288859077663671</v>
      </c>
      <c r="EM28" s="18"/>
      <c r="EN28" s="18"/>
      <c r="EO28" s="2">
        <v>40908</v>
      </c>
      <c r="EP28" s="259">
        <v>43281</v>
      </c>
    </row>
    <row r="29" spans="1:163" ht="13" customHeight="1" x14ac:dyDescent="0.3">
      <c r="AF29" s="418"/>
      <c r="AI29" s="314"/>
      <c r="AJ29" s="314"/>
      <c r="AK29" s="314"/>
      <c r="AL29" s="314"/>
      <c r="AM29" s="314"/>
      <c r="AN29" s="314"/>
      <c r="AO29" s="314"/>
      <c r="AP29" s="314"/>
      <c r="AQ29" s="314"/>
      <c r="AR29" s="314"/>
      <c r="AS29" s="314"/>
      <c r="AT29" s="314"/>
      <c r="AU29" s="314"/>
      <c r="AV29" s="314"/>
      <c r="AW29" s="314"/>
      <c r="AX29" s="314"/>
      <c r="AY29" s="348"/>
      <c r="AZ29" s="315" t="s">
        <v>306</v>
      </c>
      <c r="BA29" s="317">
        <f>MAX(BA4:BA28)</f>
        <v>1011.1193692406275</v>
      </c>
      <c r="BB29" s="316" t="s">
        <v>304</v>
      </c>
      <c r="BC29" s="313">
        <f>SUM(BC4:BC28)</f>
        <v>200</v>
      </c>
      <c r="BD29" s="304"/>
      <c r="BE29" s="304"/>
      <c r="BF29" s="304"/>
      <c r="BG29" s="304"/>
      <c r="BH29" s="304"/>
      <c r="BI29" s="304"/>
      <c r="BJ29" s="241"/>
      <c r="BK29" s="241"/>
      <c r="BL29" s="241"/>
      <c r="BM29" s="241"/>
      <c r="BN29" s="523" t="s">
        <v>18</v>
      </c>
      <c r="BO29" s="320">
        <f t="shared" ref="BO29:BO35" si="72">AG40</f>
        <v>1.45</v>
      </c>
      <c r="BP29" s="170">
        <f>IF($AG$38="custom",AH40*(1-$BP$39),IF($AG$38="",BO29*(1-AG49),"error"))</f>
        <v>1.3774999999999999</v>
      </c>
      <c r="BQ29" s="365" t="s">
        <v>130</v>
      </c>
      <c r="BW29" s="5"/>
      <c r="BX29" s="27"/>
      <c r="BY29" s="255">
        <f>BX29+12</f>
        <v>12</v>
      </c>
      <c r="CF29"/>
      <c r="CL29" s="73">
        <f>BX29+15</f>
        <v>15</v>
      </c>
      <c r="CS29" s="255" t="s">
        <v>141</v>
      </c>
      <c r="CT29" s="37">
        <f>MAX(CT4:CT28)</f>
        <v>0.35268988343023344</v>
      </c>
      <c r="CU29" s="104"/>
      <c r="CY29" s="255"/>
      <c r="DL29" s="245">
        <f>SUM(DL4:DL27)</f>
        <v>200</v>
      </c>
      <c r="DM29" s="35">
        <f>SUM(DM5:DM28)</f>
        <v>-543.9169807148669</v>
      </c>
      <c r="DN29" s="98">
        <f>DL29+DM29</f>
        <v>-343.9169807148669</v>
      </c>
      <c r="DX29" s="583" t="s">
        <v>387</v>
      </c>
      <c r="DY29" s="583" t="s">
        <v>390</v>
      </c>
      <c r="DZ29" s="583" t="s">
        <v>388</v>
      </c>
      <c r="EA29" s="583" t="s">
        <v>296</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582" t="s">
        <v>348</v>
      </c>
      <c r="C30" s="582"/>
      <c r="D30" s="582"/>
      <c r="E30" s="582"/>
      <c r="F30" s="582"/>
      <c r="G30" s="582"/>
      <c r="H30" s="582"/>
      <c r="I30" s="582"/>
      <c r="J30" s="582"/>
      <c r="K30" s="582"/>
      <c r="L30" s="582"/>
      <c r="M30" s="582"/>
      <c r="AF30" s="418"/>
      <c r="AG30" s="12"/>
      <c r="AH30" s="314"/>
      <c r="AI30" s="314"/>
      <c r="AJ30" s="314"/>
      <c r="AK30" s="314"/>
      <c r="AL30" s="314"/>
      <c r="AM30" s="314"/>
      <c r="AN30" s="314"/>
      <c r="AO30" s="314"/>
      <c r="AP30" s="314"/>
      <c r="AQ30" s="314"/>
      <c r="AR30" s="314"/>
      <c r="AS30" s="314"/>
      <c r="AT30" s="314"/>
      <c r="AU30" s="314"/>
      <c r="AV30" s="314"/>
      <c r="AW30" s="314"/>
      <c r="AX30" s="314"/>
      <c r="AY30" s="314"/>
      <c r="AZ30" s="314"/>
      <c r="BA30" s="64"/>
      <c r="BB30" s="298"/>
      <c r="BC30" s="64"/>
      <c r="BD30" s="64"/>
      <c r="BE30" s="64"/>
      <c r="BF30" s="64"/>
      <c r="BG30" s="64"/>
      <c r="BH30" s="64"/>
      <c r="BI30" s="64"/>
      <c r="BL30" s="11"/>
      <c r="BN30" s="523"/>
      <c r="BO30" s="320">
        <f t="shared" si="72"/>
        <v>0.7</v>
      </c>
      <c r="BP30" s="61">
        <f t="shared" ref="BP30:BP35" si="73">IF($AG$38="custom",AH41,IF($AG$38="",BO30,"error"))</f>
        <v>0.7</v>
      </c>
      <c r="BQ30" s="365" t="s">
        <v>229</v>
      </c>
      <c r="BX30" s="5"/>
      <c r="BY30" s="92">
        <f>(1+(BP29*BP30))</f>
        <v>1.9642499999999998</v>
      </c>
      <c r="BZ30" s="373" t="s">
        <v>129</v>
      </c>
      <c r="CA30"/>
      <c r="CB30"/>
      <c r="CY30" s="373"/>
      <c r="DX30" s="583"/>
      <c r="DY30" s="583"/>
      <c r="DZ30" s="583"/>
      <c r="EA30" s="583"/>
      <c r="EI30" t="s">
        <v>186</v>
      </c>
      <c r="EJ30" s="17">
        <f>BS4</f>
        <v>1</v>
      </c>
      <c r="EK30" s="17">
        <f>BS5</f>
        <v>1125</v>
      </c>
      <c r="EL30" s="17">
        <f>BS6</f>
        <v>1485</v>
      </c>
      <c r="EM30" s="17">
        <f>BS7</f>
        <v>3375</v>
      </c>
      <c r="EN30" s="17">
        <f>BS8</f>
        <v>4500</v>
      </c>
      <c r="EO30" s="17">
        <f>BS9</f>
        <v>9000</v>
      </c>
      <c r="EP30" s="17">
        <f>BS10</f>
        <v>13500</v>
      </c>
      <c r="EQ30" s="17">
        <f>BS11</f>
        <v>22500</v>
      </c>
      <c r="ER30" s="17">
        <f>BS12</f>
        <v>27000</v>
      </c>
      <c r="ES30" s="17">
        <f>BS13</f>
        <v>29250</v>
      </c>
      <c r="ET30" s="17">
        <f>BS14</f>
        <v>31500</v>
      </c>
      <c r="EU30" s="17">
        <f>BS15</f>
        <v>29250</v>
      </c>
      <c r="EV30" s="17">
        <f>BS16</f>
        <v>27000</v>
      </c>
      <c r="EW30" s="17">
        <f>BS17</f>
        <v>22500</v>
      </c>
      <c r="EX30" s="17">
        <f>BS18</f>
        <v>20250</v>
      </c>
      <c r="EY30" s="17">
        <f>BS19</f>
        <v>18000</v>
      </c>
      <c r="EZ30" s="17">
        <f>BS20</f>
        <v>15750</v>
      </c>
      <c r="FA30" s="17">
        <f>BS21</f>
        <v>18000</v>
      </c>
      <c r="FB30" s="17">
        <f>BS22</f>
        <v>9000</v>
      </c>
      <c r="FC30" s="17">
        <f>BS23</f>
        <v>2250</v>
      </c>
      <c r="FD30" s="17">
        <f>BS24</f>
        <v>1125</v>
      </c>
      <c r="FE30" s="17">
        <f>BS25</f>
        <v>562.5</v>
      </c>
      <c r="FF30" s="17">
        <f>BS26</f>
        <v>450</v>
      </c>
      <c r="FG30" s="17">
        <f>BS27</f>
        <v>1</v>
      </c>
    </row>
    <row r="31" spans="1:163" ht="13" x14ac:dyDescent="0.25">
      <c r="B31" s="565" t="str">
        <f>'Colony Type'!B30</f>
        <v>D: Default colony in temperate climate, managed to prevent swarming (slight fall brood buildup)</v>
      </c>
      <c r="C31" s="565"/>
      <c r="D31" s="565"/>
      <c r="E31" s="565"/>
      <c r="F31" s="565"/>
      <c r="G31" s="565"/>
      <c r="H31" s="565"/>
      <c r="I31" s="565"/>
      <c r="J31" s="565"/>
      <c r="K31" s="565"/>
      <c r="L31" s="565"/>
      <c r="M31" s="565"/>
      <c r="AF31" s="418"/>
      <c r="AM31" s="385"/>
      <c r="AN31" s="385"/>
      <c r="AO31" s="385"/>
      <c r="AP31" s="385"/>
      <c r="AQ31" s="385"/>
      <c r="AR31" s="385"/>
      <c r="AS31" s="385"/>
      <c r="AT31" s="385"/>
      <c r="AU31" s="385"/>
      <c r="AV31" s="385"/>
      <c r="AW31" s="385"/>
      <c r="AX31" s="385"/>
      <c r="AY31" s="385"/>
      <c r="AZ31" s="420" t="str">
        <f>C21</f>
        <v>d</v>
      </c>
      <c r="BA31" s="393" t="s">
        <v>355</v>
      </c>
      <c r="BB31" s="385"/>
      <c r="BC31" s="385"/>
      <c r="BD31" s="385"/>
      <c r="BG31" s="524"/>
      <c r="BH31" s="524"/>
      <c r="BI31" s="524"/>
      <c r="BJ31" s="524"/>
      <c r="BK31" s="524"/>
      <c r="BL31" s="524"/>
      <c r="BM31" s="524"/>
      <c r="BN31" s="523" t="s">
        <v>19</v>
      </c>
      <c r="BO31" s="320">
        <f t="shared" si="72"/>
        <v>3.5</v>
      </c>
      <c r="BP31" s="170">
        <f t="shared" si="73"/>
        <v>3.5</v>
      </c>
      <c r="BQ31" s="365" t="s">
        <v>118</v>
      </c>
      <c r="BY31">
        <f>LN(BY30)</f>
        <v>0.67511049307379378</v>
      </c>
      <c r="BZ31" s="373" t="s">
        <v>128</v>
      </c>
      <c r="CA31"/>
      <c r="CB31"/>
      <c r="CC31"/>
      <c r="CD31" s="37"/>
      <c r="CE31" s="37"/>
      <c r="CH31" s="373"/>
      <c r="CN31" s="37"/>
      <c r="CX31" s="10"/>
      <c r="CY31" s="13"/>
      <c r="DH31" s="17"/>
      <c r="DV31" s="68"/>
      <c r="DX31" s="583"/>
      <c r="DY31" s="583"/>
      <c r="DZ31" s="583"/>
      <c r="EA31" s="583"/>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565"/>
      <c r="C32" s="565"/>
      <c r="D32" s="565"/>
      <c r="E32" s="565"/>
      <c r="F32" s="565"/>
      <c r="G32" s="565"/>
      <c r="H32" s="565"/>
      <c r="I32" s="565"/>
      <c r="J32" s="565"/>
      <c r="K32" s="565"/>
      <c r="L32" s="565"/>
      <c r="M32" s="565"/>
      <c r="AF32" s="418"/>
      <c r="AG32" s="12"/>
      <c r="AZ32" s="422">
        <f>C22</f>
        <v>100</v>
      </c>
      <c r="BA32" s="421" t="s">
        <v>357</v>
      </c>
      <c r="BB32" s="126"/>
      <c r="BC32" s="126"/>
      <c r="BD32" s="126"/>
      <c r="BF32" s="161"/>
      <c r="BN32" s="523"/>
      <c r="BO32" s="320">
        <f t="shared" si="72"/>
        <v>0.7</v>
      </c>
      <c r="BP32" s="61">
        <f t="shared" si="73"/>
        <v>0.7</v>
      </c>
      <c r="BQ32" s="365" t="s">
        <v>230</v>
      </c>
      <c r="BV32">
        <f>LN(1885/1160)/23</f>
        <v>2.1109035468769601E-2</v>
      </c>
      <c r="BY32" s="92">
        <f>(LN(1+(BP29*BP30)))/12</f>
        <v>5.6259207756149482E-2</v>
      </c>
      <c r="BZ32" t="s">
        <v>124</v>
      </c>
      <c r="CA32"/>
      <c r="CB32"/>
      <c r="CC32"/>
      <c r="CD32" s="37"/>
      <c r="CE32" s="37"/>
      <c r="CF32"/>
      <c r="CJ32" s="10"/>
      <c r="CX32" s="255"/>
      <c r="CY32" s="373"/>
      <c r="DV32" s="68"/>
      <c r="DX32" s="583"/>
      <c r="DY32" s="583"/>
      <c r="DZ32" s="583"/>
      <c r="EA32" s="583"/>
      <c r="EI32" s="255" t="s">
        <v>180</v>
      </c>
      <c r="EJ32" s="204">
        <f>'Current version'!C20</f>
        <v>0</v>
      </c>
      <c r="EK32" s="204">
        <f>'Current version'!D20</f>
        <v>0</v>
      </c>
      <c r="EL32" s="204">
        <f>'Current version'!E20</f>
        <v>0</v>
      </c>
      <c r="EM32" s="204">
        <f>'Current version'!F20</f>
        <v>0</v>
      </c>
      <c r="EN32" s="204">
        <f>'Current version'!G20</f>
        <v>0</v>
      </c>
      <c r="EO32" s="204">
        <f>'Current version'!H20</f>
        <v>0</v>
      </c>
      <c r="EP32" s="204">
        <f>'Current version'!I20</f>
        <v>0.9</v>
      </c>
      <c r="EQ32" s="204">
        <f>'Current version'!J20</f>
        <v>0</v>
      </c>
      <c r="ER32" s="204">
        <f>'Current version'!K20</f>
        <v>0</v>
      </c>
      <c r="ES32" s="204">
        <f>'Current version'!L20</f>
        <v>0</v>
      </c>
      <c r="ET32" s="204">
        <f>'Current version'!M20</f>
        <v>0</v>
      </c>
      <c r="EU32" s="204">
        <f>'Current version'!N20</f>
        <v>0</v>
      </c>
      <c r="EV32" s="204">
        <f>'Current version'!O20</f>
        <v>0</v>
      </c>
      <c r="EW32" s="204">
        <f>'Current version'!P20</f>
        <v>0</v>
      </c>
      <c r="EX32" s="204">
        <f>'Current version'!Q20</f>
        <v>0</v>
      </c>
      <c r="EY32" s="204">
        <f>'Current version'!R20</f>
        <v>0.95</v>
      </c>
      <c r="EZ32" s="204">
        <f>'Current version'!S20</f>
        <v>0</v>
      </c>
      <c r="FA32" s="204">
        <f>'Current version'!T20</f>
        <v>0</v>
      </c>
      <c r="FB32" s="204">
        <f>'Current version'!U20</f>
        <v>0</v>
      </c>
      <c r="FC32" s="204">
        <f>'Current version'!V20</f>
        <v>0</v>
      </c>
      <c r="FD32" s="204">
        <f>'Current version'!W20</f>
        <v>0</v>
      </c>
      <c r="FE32" s="204">
        <f>'Current version'!X20</f>
        <v>0</v>
      </c>
      <c r="FF32" s="204">
        <f>'Current version'!Y20</f>
        <v>0</v>
      </c>
      <c r="FG32" s="204">
        <f>'Current version'!Z20</f>
        <v>0</v>
      </c>
    </row>
    <row r="33" spans="2:163" ht="13" x14ac:dyDescent="0.3">
      <c r="B33" s="565" t="str">
        <f>'Colony Type'!B58</f>
        <v>N: Nucleus colony, 5 frames of bees, 3 frames of brood, started 1 April</v>
      </c>
      <c r="C33" s="565"/>
      <c r="D33" s="565"/>
      <c r="E33" s="565"/>
      <c r="F33" s="565"/>
      <c r="G33" s="565"/>
      <c r="H33" s="565"/>
      <c r="I33" s="565"/>
      <c r="J33" s="565"/>
      <c r="K33" s="565"/>
      <c r="L33" s="565"/>
      <c r="M33" s="565"/>
      <c r="AF33" s="394"/>
      <c r="AZ33" s="422">
        <f>C23</f>
        <v>1</v>
      </c>
      <c r="BA33" s="6" t="s">
        <v>356</v>
      </c>
      <c r="BB33"/>
      <c r="BO33" s="359">
        <f t="shared" si="72"/>
        <v>5.0000000000000001E-3</v>
      </c>
      <c r="BP33" s="61">
        <f t="shared" si="73"/>
        <v>5.0000000000000001E-3</v>
      </c>
      <c r="BQ33" s="365" t="s">
        <v>330</v>
      </c>
      <c r="BV33">
        <f>1160*EXP(BV32*45)</f>
        <v>2999.1430600487124</v>
      </c>
      <c r="BY33" s="92">
        <f>12/17*BY32+5/17*BV37</f>
        <v>3.823810493859249E-2</v>
      </c>
      <c r="BZ33" s="255" t="s">
        <v>123</v>
      </c>
      <c r="CA33"/>
      <c r="CB33"/>
      <c r="CC33"/>
      <c r="CD33" s="37"/>
      <c r="CE33" s="37"/>
      <c r="CH33" s="54"/>
      <c r="CI33" s="54"/>
      <c r="CJ33" s="55"/>
      <c r="CR33" s="14"/>
      <c r="CS33" s="15"/>
      <c r="CT33" s="15"/>
      <c r="CU33" s="15"/>
      <c r="CV33" s="15"/>
      <c r="CW33" s="365"/>
      <c r="CX33" s="255"/>
      <c r="CY33" s="373"/>
      <c r="DE33" s="17"/>
      <c r="DF33" s="17"/>
      <c r="DG33" s="17"/>
      <c r="DH33" s="17"/>
      <c r="DI33" s="17"/>
      <c r="DJ33" s="17"/>
      <c r="DK33" s="17"/>
      <c r="DL33" s="31"/>
      <c r="DX33" s="583"/>
      <c r="DY33" s="583"/>
      <c r="DZ33" s="583"/>
      <c r="EA33" s="583"/>
      <c r="EI33" s="272">
        <f t="shared" ref="EI33:EI56" si="74">AZ4</f>
        <v>40544</v>
      </c>
      <c r="EJ33" s="162">
        <f>DE4</f>
        <v>100</v>
      </c>
      <c r="EK33" s="17">
        <f>EJ33*(1-EJ$32)*EXP($BV$38*15)</f>
        <v>92.756896881832787</v>
      </c>
      <c r="EL33" s="17">
        <f t="shared" ref="EL33:FA48" si="75">EK33*(1-EK$32)*EXP($BV$38*15)</f>
        <v>86.038419191469615</v>
      </c>
      <c r="EM33" s="17">
        <f t="shared" si="75"/>
        <v>79.806567768190504</v>
      </c>
      <c r="EN33" s="17">
        <f t="shared" si="75"/>
        <v>74.026095769670462</v>
      </c>
      <c r="EO33" s="164">
        <f t="shared" si="75"/>
        <v>68.664309318720015</v>
      </c>
      <c r="EP33" s="164">
        <f t="shared" si="75"/>
        <v>63.690882589387826</v>
      </c>
      <c r="EQ33" s="164">
        <f t="shared" si="75"/>
        <v>5.9077686286567639</v>
      </c>
      <c r="ER33" s="164">
        <f t="shared" si="75"/>
        <v>5.4798628549004214</v>
      </c>
      <c r="ES33" s="164">
        <f t="shared" si="75"/>
        <v>5.0829507375858416</v>
      </c>
      <c r="ET33" s="164">
        <f t="shared" si="75"/>
        <v>4.7147873742168578</v>
      </c>
      <c r="EU33" s="164">
        <f t="shared" si="75"/>
        <v>4.3732904629000027</v>
      </c>
      <c r="EV33" s="164">
        <f t="shared" si="75"/>
        <v>4.0565285250151835</v>
      </c>
      <c r="EW33" s="164">
        <f t="shared" si="75"/>
        <v>3.7627099809304663</v>
      </c>
      <c r="EX33" s="164">
        <f t="shared" si="75"/>
        <v>3.4901730169741025</v>
      </c>
      <c r="EY33" s="164">
        <f t="shared" si="75"/>
        <v>3.2373761863522206</v>
      </c>
      <c r="EZ33" s="164">
        <f t="shared" si="75"/>
        <v>0.15014448454258714</v>
      </c>
      <c r="FA33" s="164">
        <f t="shared" si="75"/>
        <v>0.13926936470092691</v>
      </c>
      <c r="FB33" s="164">
        <f t="shared" ref="FB33:FG48" si="76">FA33*(1-FA$32)*EXP($BV$38*15)</f>
        <v>0.1291819410036224</v>
      </c>
      <c r="FC33" s="164">
        <f t="shared" si="76"/>
        <v>0.1198251598066801</v>
      </c>
      <c r="FD33" s="164">
        <f t="shared" si="76"/>
        <v>0.11114609992037361</v>
      </c>
      <c r="FE33" s="164">
        <f t="shared" si="76"/>
        <v>0.10309567329131977</v>
      </c>
      <c r="FF33" s="164">
        <f t="shared" si="76"/>
        <v>9.56283473644607E-2</v>
      </c>
      <c r="FG33" s="164">
        <f t="shared" si="76"/>
        <v>8.8701887554653677E-2</v>
      </c>
    </row>
    <row r="34" spans="2:163" ht="13" x14ac:dyDescent="0.3">
      <c r="B34" s="580" t="str">
        <f>'Colony Type'!B86</f>
        <v>P: Package bee colony (3 lb), installed on drawn comb and fed well</v>
      </c>
      <c r="C34" s="580"/>
      <c r="D34" s="580"/>
      <c r="E34" s="580"/>
      <c r="F34" s="580"/>
      <c r="G34" s="580"/>
      <c r="H34" s="580"/>
      <c r="I34" s="580"/>
      <c r="J34" s="580"/>
      <c r="K34" s="580"/>
      <c r="L34" s="580"/>
      <c r="M34" s="580"/>
      <c r="BA34" s="64"/>
      <c r="BE34" s="64"/>
      <c r="BO34" s="359">
        <f t="shared" si="72"/>
        <v>5.0000000000000001E-3</v>
      </c>
      <c r="BP34" s="61">
        <f t="shared" si="73"/>
        <v>5.0000000000000001E-3</v>
      </c>
      <c r="BQ34" s="365" t="s">
        <v>331</v>
      </c>
      <c r="BW34"/>
      <c r="BX34"/>
      <c r="CA34"/>
      <c r="CB34"/>
      <c r="CC34"/>
      <c r="CD34" s="37"/>
      <c r="CE34" s="37"/>
      <c r="CH34"/>
      <c r="CI34"/>
      <c r="CJ34" s="55"/>
      <c r="CR34" s="14"/>
      <c r="CS34" s="15"/>
      <c r="CT34" s="15"/>
      <c r="CU34" s="15"/>
      <c r="CV34" s="15"/>
      <c r="CW34" s="365"/>
      <c r="CX34" s="255"/>
      <c r="CY34" s="373"/>
      <c r="DE34" s="17"/>
      <c r="DF34" s="17"/>
      <c r="DG34" s="17"/>
      <c r="DH34" s="17"/>
      <c r="DI34" s="17"/>
      <c r="DJ34" s="17"/>
      <c r="DK34" s="17"/>
      <c r="DL34" s="31"/>
      <c r="DX34" s="583"/>
      <c r="DY34" s="583"/>
      <c r="DZ34" s="583"/>
      <c r="EA34" s="583"/>
      <c r="EI34" s="272">
        <f t="shared" si="74"/>
        <v>40558</v>
      </c>
      <c r="EK34" s="162">
        <f>EI5</f>
        <v>15.609319551891964</v>
      </c>
      <c r="EL34" s="17">
        <f t="shared" si="75"/>
        <v>14.478720440704192</v>
      </c>
      <c r="EM34" s="17">
        <f t="shared" si="75"/>
        <v>13.430011788992832</v>
      </c>
      <c r="EN34" s="17">
        <f t="shared" si="75"/>
        <v>12.457262186334068</v>
      </c>
      <c r="EO34" s="17">
        <f t="shared" si="75"/>
        <v>11.55496984047744</v>
      </c>
      <c r="EP34" s="164">
        <f t="shared" si="75"/>
        <v>10.718031459658537</v>
      </c>
      <c r="EQ34" s="164">
        <f>EP34*(1-EP$32)*EXP($BV$38*15)</f>
        <v>0.99417133887978637</v>
      </c>
      <c r="ER34" s="164">
        <f t="shared" si="75"/>
        <v>0.92216248363345976</v>
      </c>
      <c r="ES34" s="164">
        <f t="shared" si="75"/>
        <v>0.85536930402683642</v>
      </c>
      <c r="ET34" s="164">
        <f t="shared" si="75"/>
        <v>0.79341402329502342</v>
      </c>
      <c r="EU34" s="164">
        <f t="shared" si="75"/>
        <v>0.73594622743376559</v>
      </c>
      <c r="EV34" s="164">
        <f t="shared" si="75"/>
        <v>0.68264088328647654</v>
      </c>
      <c r="EW34" s="164">
        <f t="shared" si="75"/>
        <v>0.63319650018326956</v>
      </c>
      <c r="EX34" s="164">
        <f t="shared" si="75"/>
        <v>0.58733342473436945</v>
      </c>
      <c r="EY34" s="164">
        <f t="shared" si="75"/>
        <v>0.54479225913339602</v>
      </c>
      <c r="EZ34" s="164">
        <f t="shared" si="75"/>
        <v>2.5266619701228593E-2</v>
      </c>
      <c r="FA34" s="164">
        <f t="shared" si="75"/>
        <v>2.3436532381793454E-2</v>
      </c>
      <c r="FB34" s="164">
        <f t="shared" si="76"/>
        <v>2.1739000174057502E-2</v>
      </c>
      <c r="FC34" s="164">
        <f t="shared" si="76"/>
        <v>2.0164421974591968E-2</v>
      </c>
      <c r="FD34" s="164">
        <f t="shared" si="76"/>
        <v>1.8703892097789901E-2</v>
      </c>
      <c r="FE34" s="164">
        <f t="shared" si="76"/>
        <v>1.7349149906036251E-2</v>
      </c>
      <c r="FF34" s="164">
        <f t="shared" si="76"/>
        <v>1.6092533088216635E-2</v>
      </c>
      <c r="FG34" s="164">
        <f t="shared" si="76"/>
        <v>1.4926934322311925E-2</v>
      </c>
    </row>
    <row r="35" spans="2:163" ht="13" x14ac:dyDescent="0.3">
      <c r="B35" s="486" t="str">
        <f>'Colony Type'!B114</f>
        <v>A: Subtropical colony, dry climate; no winter brood break--Southern California</v>
      </c>
      <c r="C35" s="486"/>
      <c r="D35" s="486"/>
      <c r="E35" s="486"/>
      <c r="F35" s="486"/>
      <c r="G35" s="486"/>
      <c r="H35" s="486"/>
      <c r="I35" s="486"/>
      <c r="J35" s="486"/>
      <c r="K35" s="487"/>
      <c r="L35" s="488"/>
      <c r="M35" s="489"/>
      <c r="AG35" s="525" t="s">
        <v>359</v>
      </c>
      <c r="AH35" s="525"/>
      <c r="AI35" s="525"/>
      <c r="AJ35" s="525"/>
      <c r="AK35" s="525"/>
      <c r="AL35" s="525"/>
      <c r="AM35" s="525"/>
      <c r="AN35" s="525"/>
      <c r="AO35" s="525"/>
      <c r="AP35" s="525"/>
      <c r="AQ35" s="525"/>
      <c r="AR35" s="525"/>
      <c r="AS35" s="525"/>
      <c r="AT35" s="525"/>
      <c r="AU35" s="525"/>
      <c r="AV35" s="525"/>
      <c r="AW35" s="525"/>
      <c r="AX35" s="525"/>
      <c r="AY35" s="525"/>
      <c r="BB35"/>
      <c r="BN35" s="60"/>
      <c r="BO35" s="320">
        <f t="shared" si="72"/>
        <v>0.6</v>
      </c>
      <c r="BP35" s="170">
        <f t="shared" si="73"/>
        <v>0.6</v>
      </c>
      <c r="BQ35" s="365" t="s">
        <v>132</v>
      </c>
      <c r="CA35"/>
      <c r="CB35"/>
      <c r="CD35" s="37"/>
      <c r="CE35" s="37"/>
      <c r="CH35"/>
      <c r="CI35"/>
      <c r="CJ35" s="55"/>
      <c r="CR35" s="14"/>
      <c r="CS35" s="15"/>
      <c r="CT35" s="15"/>
      <c r="CU35" s="15"/>
      <c r="CV35" s="15"/>
      <c r="CW35" s="365"/>
      <c r="CX35" s="255"/>
      <c r="DE35" s="17"/>
      <c r="DF35" s="17"/>
      <c r="DG35" s="17"/>
      <c r="DH35" s="17"/>
      <c r="DI35" s="17"/>
      <c r="DJ35" s="17"/>
      <c r="DK35" s="17"/>
      <c r="DL35" s="31"/>
      <c r="EI35" s="272">
        <f t="shared" si="74"/>
        <v>40575</v>
      </c>
      <c r="EL35" s="162">
        <f>EI6</f>
        <v>35.782676229362181</v>
      </c>
      <c r="EM35" s="17">
        <f t="shared" si="75"/>
        <v>33.190900091629572</v>
      </c>
      <c r="EN35" s="17">
        <f t="shared" si="75"/>
        <v>30.786848972144984</v>
      </c>
      <c r="EO35" s="17">
        <f t="shared" si="75"/>
        <v>28.556925754258121</v>
      </c>
      <c r="EP35" s="17">
        <f t="shared" si="75"/>
        <v>26.488518174498754</v>
      </c>
      <c r="EQ35" s="164">
        <f t="shared" si="75"/>
        <v>2.456992748864534</v>
      </c>
      <c r="ER35" s="164">
        <f t="shared" si="75"/>
        <v>2.2790302304583845</v>
      </c>
      <c r="ES35" s="164">
        <f t="shared" si="75"/>
        <v>2.1139577207720799</v>
      </c>
      <c r="ET35" s="164">
        <f t="shared" si="75"/>
        <v>1.9608415831821007</v>
      </c>
      <c r="EU35" s="164">
        <f t="shared" si="75"/>
        <v>1.8188158053283185</v>
      </c>
      <c r="EV35" s="164">
        <f t="shared" si="75"/>
        <v>1.687077101018865</v>
      </c>
      <c r="EW35" s="164">
        <f t="shared" si="75"/>
        <v>1.5648803669090825</v>
      </c>
      <c r="EX35" s="164">
        <f t="shared" si="75"/>
        <v>1.4515344682579041</v>
      </c>
      <c r="EY35" s="164">
        <f t="shared" si="75"/>
        <v>1.3463983299262439</v>
      </c>
      <c r="EZ35" s="164">
        <f t="shared" si="75"/>
        <v>6.2443865525420292E-2</v>
      </c>
      <c r="FA35" s="164">
        <f t="shared" si="75"/>
        <v>5.7920991954444431E-2</v>
      </c>
      <c r="FB35" s="164">
        <f t="shared" si="76"/>
        <v>5.3725714780118686E-2</v>
      </c>
      <c r="FC35" s="164">
        <f t="shared" si="76"/>
        <v>4.9834305857622281E-2</v>
      </c>
      <c r="FD35" s="164">
        <f t="shared" si="76"/>
        <v>4.6224755696131853E-2</v>
      </c>
      <c r="FE35" s="164">
        <f t="shared" si="76"/>
        <v>4.2876648974940146E-2</v>
      </c>
      <c r="FF35" s="164">
        <f t="shared" si="76"/>
        <v>3.9771049076070646E-2</v>
      </c>
      <c r="FG35" s="164">
        <f t="shared" si="76"/>
        <v>3.6890390980313957E-2</v>
      </c>
    </row>
    <row r="36" spans="2:163" ht="13" customHeight="1" x14ac:dyDescent="0.3">
      <c r="B36" s="580" t="str">
        <f>'Colony Type'!B142</f>
        <v>B: High latitude colony--short summer, long winter brood break</v>
      </c>
      <c r="C36" s="580"/>
      <c r="D36" s="580"/>
      <c r="E36" s="580"/>
      <c r="F36" s="580"/>
      <c r="G36" s="580"/>
      <c r="H36" s="580"/>
      <c r="I36" s="580"/>
      <c r="J36" s="580"/>
      <c r="K36" s="580"/>
      <c r="L36" s="580"/>
      <c r="M36" s="580"/>
      <c r="AG36" s="358" t="s">
        <v>391</v>
      </c>
      <c r="BB36"/>
      <c r="BO36" s="12"/>
      <c r="BP36">
        <v>15.208333333333334</v>
      </c>
      <c r="BQ36" s="234" t="s">
        <v>286</v>
      </c>
      <c r="BU36" t="s">
        <v>208</v>
      </c>
      <c r="CA36"/>
      <c r="CB36"/>
      <c r="CD36" s="37"/>
      <c r="CE36" s="37"/>
      <c r="CH36"/>
      <c r="CI36"/>
      <c r="CJ36" s="55"/>
      <c r="CQ36" s="37"/>
      <c r="CR36" s="14"/>
      <c r="CS36" s="15"/>
      <c r="CT36" s="15"/>
      <c r="CU36" s="15"/>
      <c r="CV36" s="15"/>
      <c r="CW36" s="365"/>
      <c r="CX36" s="255"/>
      <c r="DE36" s="17"/>
      <c r="DF36" s="17"/>
      <c r="DG36" s="17"/>
      <c r="DH36" s="17"/>
      <c r="DI36" s="17"/>
      <c r="DJ36" s="17"/>
      <c r="DK36" s="17"/>
      <c r="DL36" s="31"/>
      <c r="EI36" s="272">
        <f t="shared" si="74"/>
        <v>40589</v>
      </c>
      <c r="EM36" s="162">
        <f>EI7</f>
        <v>55.543202415448647</v>
      </c>
      <c r="EN36" s="17">
        <f t="shared" si="75"/>
        <v>51.520150989365355</v>
      </c>
      <c r="EO36" s="17">
        <f t="shared" si="75"/>
        <v>47.788493326570176</v>
      </c>
      <c r="EP36" s="17">
        <f t="shared" si="75"/>
        <v>44.327123476308238</v>
      </c>
      <c r="EQ36" s="17">
        <f t="shared" si="75"/>
        <v>4.1116464213601907</v>
      </c>
      <c r="ER36" s="164">
        <f t="shared" si="75"/>
        <v>3.8138356312066399</v>
      </c>
      <c r="ES36" s="164">
        <f t="shared" si="75"/>
        <v>3.5375955836809396</v>
      </c>
      <c r="ET36" s="164">
        <f t="shared" si="75"/>
        <v>3.2813638876511999</v>
      </c>
      <c r="EU36" s="164">
        <f t="shared" si="75"/>
        <v>3.0436913175863229</v>
      </c>
      <c r="EV36" s="164">
        <f t="shared" si="75"/>
        <v>2.8232336168548433</v>
      </c>
      <c r="EW36" s="164">
        <f t="shared" si="75"/>
        <v>2.6187438947192851</v>
      </c>
      <c r="EX36" s="164">
        <f t="shared" si="75"/>
        <v>2.429065574024059</v>
      </c>
      <c r="EY36" s="164">
        <f t="shared" si="75"/>
        <v>2.2531258496895958</v>
      </c>
      <c r="EZ36" s="164">
        <f t="shared" si="75"/>
        <v>0.10449648105072495</v>
      </c>
      <c r="FA36" s="164">
        <f t="shared" si="75"/>
        <v>9.6927693173364887E-2</v>
      </c>
      <c r="FB36" s="164">
        <f t="shared" si="76"/>
        <v>8.9907120406757343E-2</v>
      </c>
      <c r="FC36" s="164">
        <f t="shared" si="76"/>
        <v>8.3395054965121146E-2</v>
      </c>
      <c r="FD36" s="164">
        <f t="shared" si="76"/>
        <v>7.7354665138545192E-2</v>
      </c>
      <c r="FE36" s="164">
        <f t="shared" si="76"/>
        <v>7.1751786975847415E-2</v>
      </c>
      <c r="FF36" s="164">
        <f t="shared" si="76"/>
        <v>6.6554731056059108E-2</v>
      </c>
      <c r="FG36" s="164">
        <f t="shared" si="76"/>
        <v>6.1734103255649889E-2</v>
      </c>
    </row>
    <row r="37" spans="2:163" ht="13" customHeight="1" x14ac:dyDescent="0.3">
      <c r="B37" s="565" t="str">
        <f>'Colony Type'!B170</f>
        <v>C: California 8-frame almond colony shaken twice in April.   Enter a 25% "treatment" in April to account for mites lost on shook bees</v>
      </c>
      <c r="C37" s="565"/>
      <c r="D37" s="565"/>
      <c r="E37" s="565"/>
      <c r="F37" s="565"/>
      <c r="G37" s="565"/>
      <c r="H37" s="565"/>
      <c r="I37" s="565"/>
      <c r="J37" s="565"/>
      <c r="K37" s="565"/>
      <c r="L37" s="565"/>
      <c r="M37" s="565"/>
      <c r="AG37" s="6" t="s">
        <v>200</v>
      </c>
      <c r="AH37" s="398"/>
      <c r="BF37" s="66"/>
      <c r="BV37" s="85">
        <f>LN(1-BP33)</f>
        <v>-5.0125418235442863E-3</v>
      </c>
      <c r="BW37" s="373" t="s">
        <v>175</v>
      </c>
      <c r="CD37" s="30"/>
      <c r="CE37" s="30"/>
      <c r="CH37"/>
      <c r="CI37"/>
      <c r="CJ37" s="55"/>
      <c r="CQ37" s="37"/>
      <c r="CR37" s="14"/>
      <c r="CS37" s="15"/>
      <c r="CT37" s="15"/>
      <c r="CU37" s="15"/>
      <c r="CV37" s="15"/>
      <c r="CW37" s="365"/>
      <c r="CX37" s="255"/>
      <c r="DL37" s="31"/>
      <c r="EI37" s="272">
        <f t="shared" si="74"/>
        <v>40603</v>
      </c>
      <c r="EN37" s="162">
        <f>EI8</f>
        <v>76.617436997591824</v>
      </c>
      <c r="EO37" s="17">
        <f>EN37*(1-EN$32)*EXP($BV$38*15)</f>
        <v>71.067957029359448</v>
      </c>
      <c r="EP37" s="17">
        <f t="shared" si="75"/>
        <v>65.920431617748179</v>
      </c>
      <c r="EQ37" s="17">
        <f t="shared" si="75"/>
        <v>6.1145746779733754</v>
      </c>
      <c r="ER37" s="17">
        <f t="shared" si="75"/>
        <v>5.6716897288104224</v>
      </c>
      <c r="ES37" s="164">
        <f t="shared" si="75"/>
        <v>5.2608833932101851</v>
      </c>
      <c r="ET37" s="164">
        <f t="shared" si="75"/>
        <v>4.8798321841134369</v>
      </c>
      <c r="EU37" s="164">
        <f t="shared" si="75"/>
        <v>4.5263809070245893</v>
      </c>
      <c r="EV37" s="164">
        <f t="shared" si="75"/>
        <v>4.1985304704077659</v>
      </c>
      <c r="EW37" s="164">
        <f t="shared" si="75"/>
        <v>3.8944265789884605</v>
      </c>
      <c r="EX37" s="164">
        <f t="shared" si="75"/>
        <v>3.6123492460110143</v>
      </c>
      <c r="EY37" s="164">
        <f t="shared" si="75"/>
        <v>3.3507030651341005</v>
      </c>
      <c r="EZ37" s="164">
        <f t="shared" si="75"/>
        <v>0.15540040934714255</v>
      </c>
      <c r="FA37" s="164">
        <f t="shared" si="75"/>
        <v>0.14414459745207506</v>
      </c>
      <c r="FB37" s="164">
        <f t="shared" si="76"/>
        <v>0.13370405561935422</v>
      </c>
      <c r="FC37" s="164">
        <f t="shared" si="76"/>
        <v>0.12401973299767274</v>
      </c>
      <c r="FD37" s="164">
        <f t="shared" si="76"/>
        <v>0.11503685584977566</v>
      </c>
      <c r="FE37" s="164">
        <f t="shared" si="76"/>
        <v>0.10670461775667904</v>
      </c>
      <c r="FF37" s="164">
        <f t="shared" si="76"/>
        <v>9.8975892260716611E-2</v>
      </c>
      <c r="FG37" s="164">
        <f t="shared" si="76"/>
        <v>9.1806966322146827E-2</v>
      </c>
    </row>
    <row r="38" spans="2:163" ht="13" customHeight="1" x14ac:dyDescent="0.3">
      <c r="B38" s="565"/>
      <c r="C38" s="565"/>
      <c r="D38" s="565"/>
      <c r="E38" s="565"/>
      <c r="F38" s="565"/>
      <c r="G38" s="565"/>
      <c r="H38" s="565"/>
      <c r="I38" s="565"/>
      <c r="J38" s="565"/>
      <c r="K38" s="565"/>
      <c r="L38" s="565"/>
      <c r="M38" s="565"/>
      <c r="AG38" s="526"/>
      <c r="AH38" s="527"/>
      <c r="AI38" t="s">
        <v>358</v>
      </c>
      <c r="BD38" t="s">
        <v>208</v>
      </c>
      <c r="BG38" s="235"/>
      <c r="BV38" s="85">
        <f>LN(1-BP34)</f>
        <v>-5.0125418235442863E-3</v>
      </c>
      <c r="BW38" s="373" t="s">
        <v>210</v>
      </c>
      <c r="CD38" s="30"/>
      <c r="CE38" s="30"/>
      <c r="CG38" s="58"/>
      <c r="CH38"/>
      <c r="CI38"/>
      <c r="CJ38" s="55"/>
      <c r="CQ38" s="37"/>
      <c r="CR38" s="14"/>
      <c r="CS38" s="15"/>
      <c r="CT38" s="15"/>
      <c r="CU38" s="15"/>
      <c r="CV38" s="15"/>
      <c r="CW38" s="365"/>
      <c r="CX38" s="255"/>
      <c r="DL38" s="31"/>
      <c r="EI38" s="272">
        <f t="shared" si="74"/>
        <v>40617</v>
      </c>
      <c r="EO38" s="162">
        <f>EI9</f>
        <v>133.61866548506168</v>
      </c>
      <c r="EP38" s="17">
        <f t="shared" si="75"/>
        <v>123.94052775885976</v>
      </c>
      <c r="EQ38" s="17">
        <f t="shared" si="75"/>
        <v>11.496338752808485</v>
      </c>
      <c r="ER38" s="17">
        <f t="shared" si="75"/>
        <v>10.663647082128747</v>
      </c>
      <c r="ES38" s="17">
        <f t="shared" si="75"/>
        <v>9.891268127812733</v>
      </c>
      <c r="ET38" s="164">
        <f t="shared" si="75"/>
        <v>9.1748333776208497</v>
      </c>
      <c r="EU38" s="164">
        <f t="shared" si="75"/>
        <v>8.5102907351597477</v>
      </c>
      <c r="EV38" s="164">
        <f t="shared" si="75"/>
        <v>7.8938816015562967</v>
      </c>
      <c r="EW38" s="164">
        <f t="shared" si="75"/>
        <v>7.3221196171295446</v>
      </c>
      <c r="EX38" s="164">
        <f t="shared" si="75"/>
        <v>6.791770942825301</v>
      </c>
      <c r="EY38" s="164">
        <f t="shared" si="75"/>
        <v>6.2998359698867468</v>
      </c>
      <c r="EZ38" s="164">
        <f t="shared" si="75"/>
        <v>0.29217661771562325</v>
      </c>
      <c r="FA38" s="164">
        <f t="shared" si="75"/>
        <v>0.27101396400730743</v>
      </c>
      <c r="FB38" s="164">
        <f t="shared" si="76"/>
        <v>0.25138414312962559</v>
      </c>
      <c r="FC38" s="164">
        <f t="shared" si="76"/>
        <v>0.23317613042002575</v>
      </c>
      <c r="FD38" s="164">
        <f t="shared" si="76"/>
        <v>0.21628694284675121</v>
      </c>
      <c r="FE38" s="164">
        <f t="shared" si="76"/>
        <v>0.20062105654522963</v>
      </c>
      <c r="FF38" s="164">
        <f t="shared" si="76"/>
        <v>0.1860898665429021</v>
      </c>
      <c r="FG38" s="164">
        <f t="shared" si="76"/>
        <v>0.17261118561673996</v>
      </c>
    </row>
    <row r="39" spans="2:163" ht="13" customHeight="1" x14ac:dyDescent="0.3">
      <c r="B39" s="565" t="str">
        <f>'Colony Type'!B198</f>
        <v>R: Randy's California hives, split 4 ways after almonds and oxalic'd (enter a total 90% mite reduction on Apr 1 from splitting 4 ways, oxalic trtmt &amp; drone frame removal)</v>
      </c>
      <c r="C39" s="565"/>
      <c r="D39" s="565"/>
      <c r="E39" s="565"/>
      <c r="F39" s="565"/>
      <c r="G39" s="565"/>
      <c r="H39" s="565"/>
      <c r="I39" s="565"/>
      <c r="J39" s="565"/>
      <c r="K39" s="565"/>
      <c r="L39" s="565"/>
      <c r="M39" s="565"/>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5"/>
      <c r="BO39" s="321">
        <f>AG49</f>
        <v>0.05</v>
      </c>
      <c r="BP39" s="170">
        <f>IF($AG$38="custom",AH49,IF($AG$38="",BO39,"error"))</f>
        <v>0.05</v>
      </c>
      <c r="BQ39" s="365" t="s">
        <v>307</v>
      </c>
      <c r="BU39" s="12"/>
      <c r="CD39" s="37"/>
      <c r="CE39" s="37"/>
      <c r="CH39" s="20"/>
      <c r="CI39" s="20"/>
      <c r="CJ39" s="99"/>
      <c r="CQ39" s="37"/>
      <c r="CR39" s="14"/>
      <c r="CS39" s="15"/>
      <c r="CT39" s="15"/>
      <c r="CU39" s="15"/>
      <c r="CV39" s="15"/>
      <c r="CW39" s="365"/>
      <c r="CX39" s="255"/>
      <c r="DL39" s="31"/>
      <c r="EI39" s="272">
        <f t="shared" si="74"/>
        <v>40634</v>
      </c>
      <c r="EP39" s="162">
        <f>EI10</f>
        <v>239.45865632138995</v>
      </c>
      <c r="EQ39" s="17">
        <f t="shared" si="75"/>
        <v>22.211441891865398</v>
      </c>
      <c r="ER39" s="17">
        <f t="shared" si="75"/>
        <v>20.602644251605795</v>
      </c>
      <c r="ES39" s="17">
        <f t="shared" si="75"/>
        <v>19.110373483392838</v>
      </c>
      <c r="ET39" s="17">
        <f t="shared" si="75"/>
        <v>17.72618942572381</v>
      </c>
      <c r="EU39" s="164">
        <f t="shared" si="75"/>
        <v>16.442263246696982</v>
      </c>
      <c r="EV39" s="164">
        <f t="shared" si="75"/>
        <v>15.251333164778211</v>
      </c>
      <c r="EW39" s="164">
        <f t="shared" si="75"/>
        <v>14.14666337675809</v>
      </c>
      <c r="EX39" s="164">
        <f t="shared" si="75"/>
        <v>13.122005960599505</v>
      </c>
      <c r="EY39" s="164">
        <f t="shared" si="75"/>
        <v>12.171565537701234</v>
      </c>
      <c r="EZ39" s="164">
        <f t="shared" si="75"/>
        <v>0.56449832473551198</v>
      </c>
      <c r="FA39" s="164">
        <f t="shared" si="75"/>
        <v>0.52361112897459239</v>
      </c>
      <c r="FB39" s="164">
        <f t="shared" si="76"/>
        <v>0.48568543496476313</v>
      </c>
      <c r="FC39" s="164">
        <f t="shared" si="76"/>
        <v>0.45050673808034636</v>
      </c>
      <c r="FD39" s="164">
        <f t="shared" si="76"/>
        <v>0.4178760704868954</v>
      </c>
      <c r="FE39" s="164">
        <f t="shared" si="76"/>
        <v>0.38760887579538444</v>
      </c>
      <c r="FF39" s="164">
        <f t="shared" si="76"/>
        <v>0.35953396522635606</v>
      </c>
      <c r="FG39" s="164">
        <f t="shared" si="76"/>
        <v>0.33349254938017564</v>
      </c>
    </row>
    <row r="40" spans="2:163" ht="12.75" customHeight="1" x14ac:dyDescent="0.3">
      <c r="B40" s="565"/>
      <c r="C40" s="565"/>
      <c r="D40" s="565"/>
      <c r="E40" s="565"/>
      <c r="F40" s="565"/>
      <c r="G40" s="565"/>
      <c r="H40" s="565"/>
      <c r="I40" s="565"/>
      <c r="J40" s="565"/>
      <c r="K40" s="565"/>
      <c r="L40" s="565"/>
      <c r="M40" s="565"/>
      <c r="AG40" s="120">
        <v>1.45</v>
      </c>
      <c r="AH40" s="318">
        <v>1.45</v>
      </c>
      <c r="AI40" s="380" t="s">
        <v>338</v>
      </c>
      <c r="AX40" s="532" t="s">
        <v>208</v>
      </c>
      <c r="AY40" s="532"/>
      <c r="AZ40" s="528">
        <f>IF(AG38="custom", AH40*AH41,AG40*AG41)</f>
        <v>1.0149999999999999</v>
      </c>
      <c r="BA40" s="549" t="s">
        <v>194</v>
      </c>
      <c r="BB40" s="550"/>
      <c r="BC40" s="550"/>
      <c r="BD40" s="550"/>
      <c r="BE40" s="550"/>
      <c r="BF40" s="550"/>
      <c r="BG40" s="550"/>
      <c r="BH40" s="550"/>
      <c r="BI40" s="550"/>
      <c r="BJ40" s="551"/>
      <c r="CD40" s="37"/>
      <c r="CE40" s="37"/>
      <c r="CH40" s="12"/>
      <c r="CI40" s="12"/>
      <c r="CJ40" s="55"/>
      <c r="CQ40" s="37"/>
      <c r="CR40" s="14"/>
      <c r="CS40" s="15"/>
      <c r="CT40" s="15"/>
      <c r="CU40" s="15"/>
      <c r="CV40" s="15"/>
      <c r="CW40" s="365"/>
      <c r="CX40" s="255"/>
      <c r="DL40" s="31"/>
      <c r="EI40" s="272">
        <f t="shared" si="74"/>
        <v>40648</v>
      </c>
      <c r="EQ40" s="162">
        <f>EI11</f>
        <v>36.35288448329311</v>
      </c>
      <c r="ER40" s="17">
        <f t="shared" si="75"/>
        <v>33.719807573739978</v>
      </c>
      <c r="ES40" s="17">
        <f t="shared" si="75"/>
        <v>31.277447139926434</v>
      </c>
      <c r="ET40" s="17">
        <f t="shared" si="75"/>
        <v>29.011989390851319</v>
      </c>
      <c r="EU40" s="17">
        <f t="shared" si="75"/>
        <v>26.910621082640226</v>
      </c>
      <c r="EV40" s="164">
        <f t="shared" si="75"/>
        <v>24.961457047885347</v>
      </c>
      <c r="EW40" s="164">
        <f t="shared" si="75"/>
        <v>23.153472974109992</v>
      </c>
      <c r="EX40" s="164">
        <f t="shared" si="75"/>
        <v>21.476443051158228</v>
      </c>
      <c r="EY40" s="164">
        <f t="shared" si="75"/>
        <v>19.92088213484838</v>
      </c>
      <c r="EZ40" s="164">
        <f t="shared" si="75"/>
        <v>0.92389960498863899</v>
      </c>
      <c r="FA40" s="164">
        <f t="shared" si="75"/>
        <v>0.8569806038909723</v>
      </c>
      <c r="FB40" s="164">
        <f t="shared" si="76"/>
        <v>0.794908615048457</v>
      </c>
      <c r="FC40" s="164">
        <f t="shared" si="76"/>
        <v>0.73733256436530237</v>
      </c>
      <c r="FD40" s="164">
        <f t="shared" si="76"/>
        <v>0.68392680640449688</v>
      </c>
      <c r="FE40" s="164">
        <f t="shared" si="76"/>
        <v>0.63438928256383131</v>
      </c>
      <c r="FF40" s="164">
        <f t="shared" si="76"/>
        <v>0.58843981265713186</v>
      </c>
      <c r="FG40" s="164">
        <f t="shared" si="76"/>
        <v>0.54581851023802586</v>
      </c>
    </row>
    <row r="41" spans="2:163" ht="12.75" customHeight="1" x14ac:dyDescent="0.3">
      <c r="B41" s="565" t="str">
        <f>'Colony Type'!B226</f>
        <v>S: Colony swarming in May--enter a 50-60% "treatment" reduction of mites on 15 May</v>
      </c>
      <c r="C41" s="565"/>
      <c r="D41" s="565"/>
      <c r="E41" s="565"/>
      <c r="F41" s="565"/>
      <c r="G41" s="565"/>
      <c r="H41" s="565"/>
      <c r="I41" s="565"/>
      <c r="J41" s="565"/>
      <c r="K41" s="565"/>
      <c r="L41" s="565"/>
      <c r="M41" s="565"/>
      <c r="AG41" s="110">
        <v>0.7</v>
      </c>
      <c r="AH41" s="250">
        <v>0.7</v>
      </c>
      <c r="AI41" s="234" t="s">
        <v>225</v>
      </c>
      <c r="AW41" s="529" t="s">
        <v>208</v>
      </c>
      <c r="AX41" s="529"/>
      <c r="AY41" s="492"/>
      <c r="AZ41" s="528"/>
      <c r="BA41" s="552"/>
      <c r="BB41" s="553"/>
      <c r="BC41" s="553"/>
      <c r="BD41" s="553"/>
      <c r="BE41" s="553"/>
      <c r="BF41" s="553"/>
      <c r="BG41" s="553"/>
      <c r="BH41" s="553"/>
      <c r="BI41" s="553"/>
      <c r="BJ41" s="554"/>
      <c r="BO41" s="87">
        <v>5</v>
      </c>
      <c r="BP41" s="61">
        <f>IF($AG$38="custom",AH48,IF($AG$38="",BO41,"error"))</f>
        <v>5</v>
      </c>
      <c r="BQ41" t="s">
        <v>6</v>
      </c>
      <c r="CD41" s="37"/>
      <c r="CE41" s="37"/>
      <c r="CH41"/>
      <c r="CI41"/>
      <c r="CJ41" s="55"/>
      <c r="CQ41" s="37"/>
      <c r="CR41" s="14"/>
      <c r="CS41" s="15"/>
      <c r="CT41" s="15"/>
      <c r="CU41" s="15"/>
      <c r="CV41" s="15"/>
      <c r="CW41" s="365"/>
      <c r="CX41" s="255"/>
      <c r="DL41" s="31"/>
      <c r="EI41" s="272">
        <f t="shared" si="74"/>
        <v>40664</v>
      </c>
      <c r="EK41" s="163" t="s">
        <v>185</v>
      </c>
      <c r="EL41" s="163"/>
      <c r="EM41" s="163"/>
      <c r="EN41" s="163"/>
      <c r="ER41" s="162">
        <f>EI12</f>
        <v>58.368109296101892</v>
      </c>
      <c r="ES41" s="17">
        <f t="shared" si="75"/>
        <v>54.140446951660685</v>
      </c>
      <c r="ET41" s="17">
        <f t="shared" si="75"/>
        <v>50.218998550315284</v>
      </c>
      <c r="EU41" s="17">
        <f t="shared" si="75"/>
        <v>46.581584700405045</v>
      </c>
      <c r="EV41" s="17">
        <f t="shared" si="75"/>
        <v>43.207632486478303</v>
      </c>
      <c r="EW41" s="164">
        <f t="shared" si="75"/>
        <v>40.078059110563963</v>
      </c>
      <c r="EX41" s="164">
        <f t="shared" si="75"/>
        <v>37.175163961425802</v>
      </c>
      <c r="EY41" s="164">
        <f t="shared" si="75"/>
        <v>34.482528501351993</v>
      </c>
      <c r="EZ41" s="164">
        <f t="shared" si="75"/>
        <v>1.5992461702123848</v>
      </c>
      <c r="FA41" s="164">
        <f t="shared" si="75"/>
        <v>1.4834111209905618</v>
      </c>
      <c r="FB41" s="164">
        <f t="shared" si="76"/>
        <v>1.3759661238308551</v>
      </c>
      <c r="FC41" s="164">
        <f t="shared" si="76"/>
        <v>1.2763034786107379</v>
      </c>
      <c r="FD41" s="164">
        <f t="shared" si="76"/>
        <v>1.1838595015542068</v>
      </c>
      <c r="FE41" s="164">
        <f t="shared" si="76"/>
        <v>1.0981113370824152</v>
      </c>
      <c r="FF41" s="164">
        <f t="shared" si="76"/>
        <v>1.018574000585251</v>
      </c>
      <c r="FG41" s="164">
        <f t="shared" si="76"/>
        <v>0.9447976353880202</v>
      </c>
    </row>
    <row r="42" spans="2:163" ht="13" customHeight="1" x14ac:dyDescent="0.3">
      <c r="B42" s="580" t="str">
        <f>'Colony Type'!B254</f>
        <v xml:space="preserve">F: Feral hive restricted to a 40-liter cavity (1 Langstroth deep), swarming twice </v>
      </c>
      <c r="C42" s="580"/>
      <c r="D42" s="580"/>
      <c r="E42" s="580"/>
      <c r="F42" s="580"/>
      <c r="G42" s="580"/>
      <c r="H42" s="580"/>
      <c r="I42" s="580"/>
      <c r="J42" s="580"/>
      <c r="K42" s="580"/>
      <c r="L42" s="580"/>
      <c r="M42" s="580"/>
      <c r="AG42" s="120">
        <v>3.5</v>
      </c>
      <c r="AH42" s="318">
        <v>3.5</v>
      </c>
      <c r="AI42" s="380" t="s">
        <v>197</v>
      </c>
      <c r="AJ42" s="12"/>
      <c r="AK42" s="12"/>
      <c r="AL42" s="12"/>
      <c r="AM42" s="12"/>
      <c r="AN42" s="12"/>
      <c r="AO42" s="12"/>
      <c r="AP42" s="12"/>
      <c r="AS42" s="530" t="s">
        <v>195</v>
      </c>
      <c r="AT42" s="503" t="s">
        <v>196</v>
      </c>
      <c r="AU42" s="503"/>
      <c r="AV42" s="503"/>
      <c r="AW42" s="503"/>
      <c r="AX42" s="503"/>
      <c r="BA42" s="555"/>
      <c r="BB42" s="556"/>
      <c r="BC42" s="556"/>
      <c r="BD42" s="556"/>
      <c r="BE42" s="556"/>
      <c r="BF42" s="556"/>
      <c r="BG42" s="556"/>
      <c r="BH42" s="556"/>
      <c r="BI42" s="556"/>
      <c r="BJ42" s="557"/>
      <c r="BO42" s="87">
        <v>5</v>
      </c>
      <c r="BP42" s="61">
        <f>IF($AG$38="custom",$AH$47,IF($AG$38="",BO42,"error"))</f>
        <v>5</v>
      </c>
      <c r="BQ42" t="s">
        <v>282</v>
      </c>
      <c r="CD42" s="37"/>
      <c r="CE42" s="37"/>
      <c r="CH42"/>
      <c r="CI42"/>
      <c r="CJ42" s="55"/>
      <c r="CQ42" s="37"/>
      <c r="CR42" s="14"/>
      <c r="CS42" s="15"/>
      <c r="CT42" s="15"/>
      <c r="CU42" s="15"/>
      <c r="CV42" s="15"/>
      <c r="CW42" s="365"/>
      <c r="CX42" s="255"/>
      <c r="DL42" s="31"/>
      <c r="EI42" s="272">
        <f t="shared" si="74"/>
        <v>40678</v>
      </c>
      <c r="ES42" s="162">
        <f>EI13</f>
        <v>85.64707214063769</v>
      </c>
      <c r="ET42" s="17">
        <f t="shared" si="75"/>
        <v>79.443566387800232</v>
      </c>
      <c r="EU42" s="17">
        <f t="shared" si="75"/>
        <v>73.689386953582229</v>
      </c>
      <c r="EV42" s="17">
        <f t="shared" si="75"/>
        <v>68.351988669389016</v>
      </c>
      <c r="EW42" s="17">
        <f t="shared" si="75"/>
        <v>63.401183646747199</v>
      </c>
      <c r="EX42" s="164">
        <f t="shared" si="75"/>
        <v>58.808970537074728</v>
      </c>
      <c r="EY42" s="164">
        <f t="shared" si="75"/>
        <v>54.549376158341829</v>
      </c>
      <c r="EZ42" s="164">
        <f t="shared" si="75"/>
        <v>2.5299154296438124</v>
      </c>
      <c r="FA42" s="164">
        <f t="shared" si="75"/>
        <v>2.346671046272288</v>
      </c>
      <c r="FB42" s="164">
        <f t="shared" si="76"/>
        <v>2.1766992425466127</v>
      </c>
      <c r="FC42" s="164">
        <f t="shared" si="76"/>
        <v>2.0190386718365967</v>
      </c>
      <c r="FD42" s="164">
        <f t="shared" si="76"/>
        <v>1.8727976188397981</v>
      </c>
      <c r="FE42" s="164">
        <f t="shared" si="76"/>
        <v>1.7371489561126514</v>
      </c>
      <c r="FF42" s="164">
        <f t="shared" si="76"/>
        <v>1.6113254659052467</v>
      </c>
      <c r="FG42" s="164">
        <f t="shared" si="76"/>
        <v>1.4946155008404414</v>
      </c>
    </row>
    <row r="43" spans="2:163" ht="13" customHeight="1" x14ac:dyDescent="0.3">
      <c r="B43" s="565" t="s">
        <v>353</v>
      </c>
      <c r="C43" s="565"/>
      <c r="D43" s="565"/>
      <c r="E43" s="565"/>
      <c r="F43" s="565"/>
      <c r="G43" s="565"/>
      <c r="H43" s="565"/>
      <c r="I43" s="565"/>
      <c r="J43" s="565"/>
      <c r="K43" s="565"/>
      <c r="L43" s="565"/>
      <c r="M43" s="565"/>
      <c r="AG43" s="110">
        <v>0.7</v>
      </c>
      <c r="AH43" s="250">
        <v>0.7</v>
      </c>
      <c r="AI43" s="380" t="s">
        <v>226</v>
      </c>
      <c r="AS43" s="531"/>
      <c r="AT43" s="503"/>
      <c r="AU43" s="503"/>
      <c r="AV43" s="503"/>
      <c r="AW43" s="503"/>
      <c r="AX43" s="503"/>
      <c r="BB43" s="492"/>
      <c r="BO43" s="87">
        <v>4500</v>
      </c>
      <c r="BP43" s="61">
        <v>4500</v>
      </c>
      <c r="BQ43" s="23" t="s">
        <v>13</v>
      </c>
      <c r="CD43" s="37"/>
      <c r="CE43" s="37"/>
      <c r="CH43"/>
      <c r="CI43"/>
      <c r="CJ43" s="55"/>
      <c r="CQ43" s="37"/>
      <c r="CR43" s="14"/>
      <c r="CS43" s="15"/>
      <c r="CT43" s="15"/>
      <c r="CU43" s="15"/>
      <c r="CV43" s="15"/>
      <c r="CW43" s="365"/>
      <c r="CX43" s="255"/>
      <c r="DL43" s="31"/>
      <c r="EI43" s="272">
        <f t="shared" si="74"/>
        <v>40695</v>
      </c>
      <c r="ET43" s="162">
        <f>EI14</f>
        <v>122.19251627273051</v>
      </c>
      <c r="EU43" s="17">
        <f t="shared" si="75"/>
        <v>113.34198631641338</v>
      </c>
      <c r="EV43" s="17">
        <f t="shared" si="75"/>
        <v>105.13250937133658</v>
      </c>
      <c r="EW43" s="17">
        <f t="shared" si="75"/>
        <v>97.517653306853859</v>
      </c>
      <c r="EX43" s="17">
        <f t="shared" si="75"/>
        <v>90.454349119421636</v>
      </c>
      <c r="EY43" s="164">
        <f t="shared" si="75"/>
        <v>83.902647337834949</v>
      </c>
      <c r="EZ43" s="164">
        <f t="shared" si="75"/>
        <v>3.8912746036141721</v>
      </c>
      <c r="FA43" s="164">
        <f t="shared" si="75"/>
        <v>3.609425571463345</v>
      </c>
      <c r="FB43" s="164">
        <f t="shared" si="76"/>
        <v>3.3479911553487587</v>
      </c>
      <c r="FC43" s="164">
        <f t="shared" si="76"/>
        <v>3.10549270357973</v>
      </c>
      <c r="FD43" s="164">
        <f t="shared" si="76"/>
        <v>2.8805586647322912</v>
      </c>
      <c r="FE43" s="164">
        <f t="shared" si="76"/>
        <v>2.6719168302664307</v>
      </c>
      <c r="FF43" s="164">
        <f t="shared" si="76"/>
        <v>2.4783871390185683</v>
      </c>
      <c r="FG43" s="164">
        <f t="shared" si="76"/>
        <v>2.2988750028720593</v>
      </c>
    </row>
    <row r="44" spans="2:163" ht="26" customHeight="1" x14ac:dyDescent="0.3">
      <c r="AG44" s="121">
        <v>5.0000000000000001E-3</v>
      </c>
      <c r="AH44" s="252">
        <v>5.0000000000000001E-3</v>
      </c>
      <c r="AI44" s="380" t="s">
        <v>327</v>
      </c>
      <c r="BB44" s="492"/>
      <c r="BD44" s="560" t="s">
        <v>208</v>
      </c>
      <c r="BE44" s="561"/>
      <c r="BK44" s="365"/>
      <c r="BL44" s="365"/>
      <c r="BM44" s="255"/>
      <c r="BO44" s="87">
        <v>2000</v>
      </c>
      <c r="BP44" s="61">
        <v>2000</v>
      </c>
      <c r="BQ44" s="373" t="s">
        <v>14</v>
      </c>
      <c r="CD44" s="37"/>
      <c r="CE44" s="37"/>
      <c r="CH44"/>
      <c r="CI44"/>
      <c r="CJ44" s="55"/>
      <c r="CQ44" s="37"/>
      <c r="CR44" s="19"/>
      <c r="CS44" s="365"/>
      <c r="CT44" s="365"/>
      <c r="CU44" s="365"/>
      <c r="CV44" s="365"/>
      <c r="CW44" s="365"/>
      <c r="DL44" s="31"/>
      <c r="EI44" s="272">
        <f t="shared" si="74"/>
        <v>40709</v>
      </c>
      <c r="EU44" s="162">
        <f>EI15</f>
        <v>170.11449848504071</v>
      </c>
      <c r="EV44" s="17">
        <f t="shared" si="75"/>
        <v>157.79292994081621</v>
      </c>
      <c r="EW44" s="17">
        <f t="shared" si="75"/>
        <v>146.36382531202554</v>
      </c>
      <c r="EX44" s="17">
        <f t="shared" si="75"/>
        <v>135.7625425169814</v>
      </c>
      <c r="EY44" s="17">
        <f t="shared" si="75"/>
        <v>125.92912156663083</v>
      </c>
      <c r="EZ44" s="164">
        <f t="shared" si="75"/>
        <v>5.8403972717878849</v>
      </c>
      <c r="FA44" s="164">
        <f t="shared" si="75"/>
        <v>5.4173712748816634</v>
      </c>
      <c r="FB44" s="164">
        <f t="shared" si="76"/>
        <v>5.0249854871480144</v>
      </c>
      <c r="FC44" s="164">
        <f>FB44*(1-FB$32)*EXP($BV$38*15)</f>
        <v>4.6610206066409461</v>
      </c>
      <c r="FD44" s="164">
        <f t="shared" si="76"/>
        <v>4.323418077742919</v>
      </c>
      <c r="FE44" s="164">
        <f t="shared" si="76"/>
        <v>4.0102684481425168</v>
      </c>
      <c r="FF44" s="164">
        <f t="shared" si="76"/>
        <v>3.7198005691282301</v>
      </c>
      <c r="FG44" s="164">
        <f t="shared" si="76"/>
        <v>3.4503715781161013</v>
      </c>
    </row>
    <row r="45" spans="2:163" ht="13" x14ac:dyDescent="0.3">
      <c r="B45" s="587" t="s">
        <v>349</v>
      </c>
      <c r="C45" s="587"/>
      <c r="D45" s="587"/>
      <c r="E45" s="587"/>
      <c r="F45" s="587"/>
      <c r="G45" s="587"/>
      <c r="H45" s="587"/>
      <c r="AG45" s="121">
        <v>5.0000000000000001E-3</v>
      </c>
      <c r="AH45" s="252">
        <v>5.0000000000000001E-3</v>
      </c>
      <c r="AI45" s="380" t="s">
        <v>328</v>
      </c>
      <c r="AO45" s="12"/>
      <c r="AP45" s="12"/>
      <c r="AQ45" s="12"/>
      <c r="AR45" s="12"/>
      <c r="AZ45" s="12"/>
      <c r="BA45" s="558" t="s">
        <v>208</v>
      </c>
      <c r="BB45" s="559"/>
      <c r="BC45" s="12"/>
      <c r="BK45" s="365"/>
      <c r="BL45" s="365"/>
      <c r="BO45" s="87"/>
      <c r="BP45" s="61"/>
      <c r="BY45" s="363"/>
      <c r="CD45" s="37"/>
      <c r="CE45" s="37"/>
      <c r="CH45"/>
      <c r="CI45"/>
      <c r="CJ45" s="55"/>
      <c r="CL45" s="14"/>
      <c r="CQ45" s="37"/>
      <c r="CR45" s="19"/>
      <c r="CS45" s="365"/>
      <c r="CT45" s="365"/>
      <c r="CU45" s="365"/>
      <c r="CV45" s="365"/>
      <c r="CW45" s="365"/>
      <c r="DL45" s="31"/>
      <c r="EI45" s="272">
        <f t="shared" si="74"/>
        <v>40725</v>
      </c>
      <c r="EV45" s="162">
        <f>EI16</f>
        <v>230.73378138235145</v>
      </c>
      <c r="EW45" s="17">
        <f t="shared" si="75"/>
        <v>214.02149566838122</v>
      </c>
      <c r="EX45" s="17">
        <f t="shared" si="75"/>
        <v>198.51969804207658</v>
      </c>
      <c r="EY45" s="17">
        <f t="shared" si="75"/>
        <v>184.14071160301481</v>
      </c>
      <c r="EZ45" s="17">
        <f t="shared" si="75"/>
        <v>8.5401604989540836</v>
      </c>
      <c r="FA45" s="164">
        <f t="shared" si="75"/>
        <v>7.9215878675578555</v>
      </c>
      <c r="FB45" s="164">
        <f t="shared" si="76"/>
        <v>7.3478190897144167</v>
      </c>
      <c r="FC45" s="164">
        <f t="shared" si="76"/>
        <v>6.8156089761100258</v>
      </c>
      <c r="FD45" s="164">
        <f t="shared" si="76"/>
        <v>6.3219473898393161</v>
      </c>
      <c r="FE45" s="164">
        <f t="shared" si="76"/>
        <v>5.8640422213169741</v>
      </c>
      <c r="FF45" s="164">
        <f t="shared" si="76"/>
        <v>5.4393035963341223</v>
      </c>
      <c r="FG45" s="164">
        <f t="shared" si="76"/>
        <v>5.0453292279414637</v>
      </c>
    </row>
    <row r="46" spans="2:163" ht="13" x14ac:dyDescent="0.3">
      <c r="B46" s="411">
        <v>0</v>
      </c>
      <c r="C46" s="586" t="s">
        <v>288</v>
      </c>
      <c r="D46" s="586"/>
      <c r="E46" s="586"/>
      <c r="F46" s="586"/>
      <c r="G46" s="586"/>
      <c r="H46" s="586"/>
      <c r="AG46" s="110">
        <v>0.6</v>
      </c>
      <c r="AH46" s="250">
        <v>0.6</v>
      </c>
      <c r="AI46" s="380" t="s">
        <v>386</v>
      </c>
      <c r="BB46" s="492"/>
      <c r="BE46" s="493" t="s">
        <v>208</v>
      </c>
      <c r="BK46" s="365"/>
      <c r="BL46" s="365"/>
      <c r="BO46" s="169">
        <v>0.95</v>
      </c>
      <c r="BP46" s="170">
        <v>0.95</v>
      </c>
      <c r="BQ46" t="s">
        <v>187</v>
      </c>
      <c r="CD46" s="37"/>
      <c r="CE46" s="37"/>
      <c r="CH46"/>
      <c r="CI46"/>
      <c r="CJ46" s="55"/>
      <c r="CL46" s="14"/>
      <c r="CO46" s="44"/>
      <c r="CP46" s="54"/>
      <c r="CQ46" s="54"/>
      <c r="CR46" s="54"/>
      <c r="CS46" s="54"/>
      <c r="CT46" s="54"/>
      <c r="CU46" s="54"/>
      <c r="CV46" s="54"/>
      <c r="CX46" s="20"/>
      <c r="DL46" s="31"/>
      <c r="EI46" s="272">
        <f t="shared" si="74"/>
        <v>40739</v>
      </c>
      <c r="EW46" s="162">
        <f>EI17</f>
        <v>298.88655378397056</v>
      </c>
      <c r="EX46" s="17">
        <f t="shared" si="75"/>
        <v>277.23789248706123</v>
      </c>
      <c r="EY46" s="17">
        <f t="shared" si="75"/>
        <v>257.15726605158983</v>
      </c>
      <c r="EZ46" s="17">
        <f t="shared" si="75"/>
        <v>11.926555004780688</v>
      </c>
      <c r="FA46" s="17">
        <f t="shared" si="75"/>
        <v>11.06270232733949</v>
      </c>
      <c r="FB46" s="164">
        <f t="shared" si="76"/>
        <v>10.261419390114407</v>
      </c>
      <c r="FC46" s="164">
        <f t="shared" si="76"/>
        <v>9.5181742023008145</v>
      </c>
      <c r="FD46" s="164">
        <f t="shared" si="76"/>
        <v>8.828763029861376</v>
      </c>
      <c r="FE46" s="164">
        <f t="shared" si="76"/>
        <v>8.1892866195498915</v>
      </c>
      <c r="FF46" s="164">
        <f t="shared" si="76"/>
        <v>7.5961281450536227</v>
      </c>
      <c r="FG46" s="164">
        <f t="shared" si="76"/>
        <v>7.0459327505192659</v>
      </c>
    </row>
    <row r="47" spans="2:163" ht="13" x14ac:dyDescent="0.3">
      <c r="B47" s="412">
        <v>1</v>
      </c>
      <c r="C47" s="586" t="s">
        <v>289</v>
      </c>
      <c r="D47" s="586"/>
      <c r="E47" s="586"/>
      <c r="F47" s="586"/>
      <c r="G47" s="586"/>
      <c r="H47" s="586"/>
      <c r="AG47" s="9">
        <v>4.5</v>
      </c>
      <c r="AH47" s="251">
        <v>4.5</v>
      </c>
      <c r="AI47" t="s">
        <v>198</v>
      </c>
      <c r="AO47" s="7"/>
      <c r="AY47" s="12"/>
      <c r="BB47" s="492"/>
      <c r="BE47" s="493" t="s">
        <v>208</v>
      </c>
      <c r="CD47" s="37"/>
      <c r="CE47" s="37"/>
      <c r="CH47"/>
      <c r="CI47"/>
      <c r="CJ47" s="55"/>
      <c r="CL47" s="14"/>
      <c r="DL47" s="31"/>
      <c r="EI47" s="272">
        <f t="shared" si="74"/>
        <v>40756</v>
      </c>
      <c r="EX47" s="162">
        <f>EI18</f>
        <v>390.44190101016602</v>
      </c>
      <c r="EY47" s="17">
        <f t="shared" si="75"/>
        <v>362.16179150346733</v>
      </c>
      <c r="EZ47" s="17">
        <f t="shared" si="75"/>
        <v>16.79650197451349</v>
      </c>
      <c r="FA47" s="17">
        <f t="shared" si="75"/>
        <v>15.579914016254484</v>
      </c>
      <c r="FB47" s="17">
        <f t="shared" si="76"/>
        <v>14.451444778335384</v>
      </c>
      <c r="FC47" s="164">
        <f t="shared" si="76"/>
        <v>13.40471173097556</v>
      </c>
      <c r="FD47" s="164">
        <f t="shared" si="76"/>
        <v>12.433794637607942</v>
      </c>
      <c r="FE47" s="164">
        <f t="shared" si="76"/>
        <v>11.533202070504853</v>
      </c>
      <c r="FF47" s="164">
        <f t="shared" si="76"/>
        <v>10.697840351711591</v>
      </c>
      <c r="FG47" s="164">
        <f t="shared" si="76"/>
        <v>9.9229847436202174</v>
      </c>
    </row>
    <row r="48" spans="2:163" ht="13" customHeight="1" x14ac:dyDescent="0.35">
      <c r="B48" s="412">
        <v>2</v>
      </c>
      <c r="C48" s="586" t="s">
        <v>291</v>
      </c>
      <c r="D48" s="586"/>
      <c r="E48" s="586"/>
      <c r="F48" s="586"/>
      <c r="G48" s="586"/>
      <c r="H48" s="586"/>
      <c r="AG48" s="9">
        <v>5</v>
      </c>
      <c r="AH48" s="319">
        <v>5</v>
      </c>
      <c r="AI48" s="491" t="s">
        <v>252</v>
      </c>
      <c r="AJ48" s="234"/>
      <c r="AK48" s="12"/>
      <c r="AL48" s="12"/>
      <c r="AM48" s="12"/>
      <c r="AN48" s="12"/>
      <c r="AO48" s="12"/>
      <c r="AP48" s="12"/>
      <c r="AQ48" s="12"/>
      <c r="AR48" s="12"/>
      <c r="AS48" s="12"/>
      <c r="AT48" s="12"/>
      <c r="AU48" s="12"/>
      <c r="AV48" s="12"/>
      <c r="AW48" s="12"/>
      <c r="AX48" s="12"/>
      <c r="AY48" s="12"/>
      <c r="BB48" s="562" t="s">
        <v>208</v>
      </c>
      <c r="BC48" s="563"/>
      <c r="BI48" s="20"/>
      <c r="BJ48" s="20"/>
      <c r="BO48" s="6" t="s">
        <v>15</v>
      </c>
      <c r="BW48"/>
      <c r="BX48"/>
      <c r="BY48"/>
      <c r="BZ48"/>
      <c r="CA48"/>
      <c r="CD48" s="37"/>
      <c r="CE48" s="37"/>
      <c r="CH48"/>
      <c r="CI48"/>
      <c r="CJ48" s="55"/>
      <c r="CL48" s="143"/>
      <c r="DL48" s="31"/>
      <c r="EI48" s="272">
        <f t="shared" si="74"/>
        <v>40770</v>
      </c>
      <c r="EY48" s="162">
        <f>EI19</f>
        <v>519.53266773561711</v>
      </c>
      <c r="EZ48" s="17">
        <f t="shared" si="75"/>
        <v>24.095119043948088</v>
      </c>
      <c r="FA48" s="17">
        <f t="shared" si="75"/>
        <v>22.349884725149781</v>
      </c>
      <c r="FB48" s="17">
        <f t="shared" si="76"/>
        <v>20.731059527715679</v>
      </c>
      <c r="FC48" s="17">
        <f t="shared" si="76"/>
        <v>19.229487508634602</v>
      </c>
      <c r="FD48" s="164">
        <f t="shared" si="76"/>
        <v>17.836675899289112</v>
      </c>
      <c r="FE48" s="164">
        <f t="shared" si="76"/>
        <v>16.544747071050324</v>
      </c>
      <c r="FF48" s="164">
        <f t="shared" si="76"/>
        <v>15.346393980054199</v>
      </c>
      <c r="FG48" s="164">
        <f t="shared" si="76"/>
        <v>14.234838839158668</v>
      </c>
    </row>
    <row r="49" spans="2:163" ht="13" x14ac:dyDescent="0.3">
      <c r="B49" s="412">
        <v>3</v>
      </c>
      <c r="C49" s="586" t="s">
        <v>290</v>
      </c>
      <c r="D49" s="586"/>
      <c r="E49" s="586"/>
      <c r="F49" s="586"/>
      <c r="G49" s="586"/>
      <c r="H49" s="586"/>
      <c r="AG49" s="322">
        <v>0.05</v>
      </c>
      <c r="AH49" s="338">
        <v>0.1</v>
      </c>
      <c r="AI49" s="380" t="s">
        <v>392</v>
      </c>
      <c r="BB49" s="492"/>
      <c r="BO49" s="255" t="s">
        <v>16</v>
      </c>
      <c r="BP49" t="s">
        <v>117</v>
      </c>
      <c r="BW49"/>
      <c r="BX49"/>
      <c r="BY49"/>
      <c r="BZ49"/>
      <c r="CA49" s="42"/>
      <c r="CH49"/>
      <c r="CI49"/>
      <c r="CJ49" s="55"/>
      <c r="CL49" s="14"/>
      <c r="DL49" s="31"/>
      <c r="DO49" s="95"/>
      <c r="DP49" s="389"/>
      <c r="DQ49" s="95"/>
      <c r="EI49" s="272">
        <f t="shared" si="74"/>
        <v>40787</v>
      </c>
      <c r="EZ49" s="162">
        <f>EI20</f>
        <v>31.699277772269298</v>
      </c>
      <c r="FA49" s="17">
        <f t="shared" ref="FA49:FG50" si="77">EZ49*(1-EZ$32)*EXP($BV$38*15)</f>
        <v>29.403266395509572</v>
      </c>
      <c r="FB49" s="17">
        <f t="shared" si="77"/>
        <v>27.273557490373406</v>
      </c>
      <c r="FC49" s="17">
        <f t="shared" si="77"/>
        <v>25.298105597353043</v>
      </c>
      <c r="FD49" s="164">
        <f t="shared" si="77"/>
        <v>23.465737721993928</v>
      </c>
      <c r="FE49" s="164">
        <f t="shared" si="77"/>
        <v>21.766090141351246</v>
      </c>
      <c r="FF49" s="164">
        <f t="shared" si="77"/>
        <v>20.189549787619946</v>
      </c>
      <c r="FG49" s="164">
        <f t="shared" si="77"/>
        <v>18.727199877408921</v>
      </c>
    </row>
    <row r="50" spans="2:163" ht="13" x14ac:dyDescent="0.3">
      <c r="B50" s="412">
        <v>4</v>
      </c>
      <c r="C50" s="585" t="s">
        <v>292</v>
      </c>
      <c r="D50" s="585"/>
      <c r="E50" s="585"/>
      <c r="F50" s="585"/>
      <c r="G50" s="585"/>
      <c r="H50" s="585"/>
      <c r="AR50" s="255"/>
      <c r="AS50" s="255"/>
      <c r="BB50" s="492"/>
      <c r="BW50"/>
      <c r="BX50"/>
      <c r="BY50"/>
      <c r="BZ50" s="18"/>
      <c r="CA50" s="18"/>
      <c r="CH50"/>
      <c r="CI50"/>
      <c r="CJ50" s="55"/>
      <c r="CL50" s="14"/>
      <c r="DL50" s="31"/>
      <c r="DO50" s="95"/>
      <c r="DP50" s="389"/>
      <c r="DQ50" s="95"/>
      <c r="EI50" s="272">
        <f t="shared" si="74"/>
        <v>40801</v>
      </c>
      <c r="FA50" s="162">
        <f>EI21</f>
        <v>63.56372693590481</v>
      </c>
      <c r="FB50" s="17">
        <f t="shared" si="77"/>
        <v>58.959740648186994</v>
      </c>
      <c r="FC50" s="17">
        <f t="shared" si="77"/>
        <v>54.689225834834858</v>
      </c>
      <c r="FD50" s="17">
        <f t="shared" si="77"/>
        <v>50.728028813090425</v>
      </c>
      <c r="FE50" s="164">
        <f t="shared" si="77"/>
        <v>47.053745376344708</v>
      </c>
      <c r="FF50" s="164">
        <f t="shared" si="77"/>
        <v>43.645594077776224</v>
      </c>
      <c r="FG50" s="164">
        <f t="shared" si="77"/>
        <v>40.484298692186208</v>
      </c>
    </row>
    <row r="51" spans="2:163" ht="13" x14ac:dyDescent="0.3">
      <c r="B51" s="412" t="s">
        <v>320</v>
      </c>
      <c r="C51" s="584" t="s">
        <v>370</v>
      </c>
      <c r="D51" s="584"/>
      <c r="E51" s="584"/>
      <c r="F51" s="584"/>
      <c r="G51" s="584"/>
      <c r="H51" s="584"/>
      <c r="I51" s="584"/>
      <c r="J51" s="584"/>
      <c r="AH51" s="490">
        <v>0.5</v>
      </c>
      <c r="AI51" s="380" t="s">
        <v>385</v>
      </c>
      <c r="BB51" s="299"/>
      <c r="BC51" s="131"/>
      <c r="BO51" s="6" t="s">
        <v>18</v>
      </c>
      <c r="CH51"/>
      <c r="CI51"/>
      <c r="CJ51" s="55"/>
      <c r="CL51" s="14"/>
      <c r="DL51" s="31"/>
      <c r="DM51" s="364"/>
      <c r="DO51" s="95"/>
      <c r="DP51" s="389"/>
      <c r="DQ51" s="95"/>
      <c r="EH51" s="364"/>
      <c r="EI51" s="272">
        <f t="shared" si="74"/>
        <v>40817</v>
      </c>
      <c r="FB51" s="162">
        <f>EI22</f>
        <v>83.580472604076633</v>
      </c>
      <c r="FC51" s="17">
        <f>FB51*(1-FB$32)*EXP($BV$38*15)</f>
        <v>77.526652786711864</v>
      </c>
      <c r="FD51" s="17">
        <f>FC51*(1-FC$32)*EXP($BV$38*15)</f>
        <v>71.911317381306873</v>
      </c>
      <c r="FE51" s="17">
        <f>FD51*(1-FD$32)*EXP($BV$38*15)</f>
        <v>66.702706509746307</v>
      </c>
      <c r="FF51" s="164">
        <f>FE51*(1-FE$32)*EXP($BV$38*15)</f>
        <v>61.871360694636948</v>
      </c>
      <c r="FG51" s="164">
        <f>FF51*(1-FF$32)*EXP($BV$38*15)</f>
        <v>57.389954238911216</v>
      </c>
    </row>
    <row r="52" spans="2:163" ht="13" x14ac:dyDescent="0.3">
      <c r="AH52" s="495">
        <v>60</v>
      </c>
      <c r="AI52" s="380" t="s">
        <v>389</v>
      </c>
      <c r="BP52" s="8"/>
      <c r="BQ52" s="8"/>
      <c r="BU52" t="s">
        <v>34</v>
      </c>
      <c r="BV52" t="s">
        <v>258</v>
      </c>
      <c r="BW52" t="s">
        <v>257</v>
      </c>
      <c r="CH52"/>
      <c r="CI52"/>
      <c r="CJ52" s="55"/>
      <c r="CL52" s="14"/>
      <c r="DL52" s="31"/>
      <c r="DO52" s="95"/>
      <c r="DP52" s="389"/>
      <c r="DQ52" s="95"/>
      <c r="EH52" s="364"/>
      <c r="EI52" s="272">
        <f t="shared" si="74"/>
        <v>40831</v>
      </c>
      <c r="FC52" s="162">
        <f>EI23</f>
        <v>83.397865209335862</v>
      </c>
      <c r="FD52" s="17">
        <f>FC52*(1-FC$32)*EXP($BV$38*15)</f>
        <v>77.357271833873568</v>
      </c>
      <c r="FE52" s="17">
        <f>FD52*(1-FD$32)*EXP($BV$38*15)</f>
        <v>71.754204865545177</v>
      </c>
      <c r="FF52" s="17">
        <f>FE52*(1-FE$32)*EXP($BV$38*15)</f>
        <v>66.556973815512777</v>
      </c>
      <c r="FG52" s="164">
        <f>FF52*(1-FF$32)*EXP($BV$38*15)</f>
        <v>61.736183569723636</v>
      </c>
    </row>
    <row r="53" spans="2:163" ht="13" x14ac:dyDescent="0.3">
      <c r="AK53" s="254"/>
      <c r="AL53" s="254"/>
      <c r="AM53" s="254"/>
      <c r="BD53" s="236"/>
      <c r="BE53" s="236"/>
      <c r="BF53" s="236"/>
      <c r="BG53" s="236"/>
      <c r="BK53" s="7"/>
      <c r="BL53" s="60"/>
      <c r="BM53" s="5"/>
      <c r="BO53" t="s">
        <v>20</v>
      </c>
      <c r="BP53" s="44">
        <f>BP29</f>
        <v>1.3774999999999999</v>
      </c>
      <c r="BQ53" t="s">
        <v>21</v>
      </c>
      <c r="BU53">
        <v>0</v>
      </c>
      <c r="BV53" s="365">
        <f>BU53+12</f>
        <v>12</v>
      </c>
      <c r="BW53" s="29">
        <f>$BP$57/BV53</f>
        <v>2.6536295761255119E-2</v>
      </c>
      <c r="CH53"/>
      <c r="CI53"/>
      <c r="CJ53" s="55"/>
      <c r="CL53" s="14"/>
      <c r="DL53" s="31"/>
      <c r="DM53" s="364"/>
      <c r="DO53" s="95"/>
      <c r="DP53" s="389"/>
      <c r="DQ53" s="95"/>
      <c r="EH53" s="364"/>
      <c r="EI53" s="272">
        <f t="shared" si="74"/>
        <v>40848</v>
      </c>
      <c r="FD53" s="162">
        <f>EI24</f>
        <v>82.816670378913557</v>
      </c>
      <c r="FE53" s="17">
        <f>FD53*(1-FD$32)*EXP($BV$38*15)</f>
        <v>76.818173544336204</v>
      </c>
      <c r="FF53" s="17">
        <f>FE53*(1-FE$32)*EXP($BV$38*15)</f>
        <v>71.25415402102729</v>
      </c>
      <c r="FG53" s="17">
        <f>FF53*(1-FF$32)*EXP($BV$38*15)</f>
        <v>66.093142169306589</v>
      </c>
    </row>
    <row r="54" spans="2:163" ht="13" customHeight="1" x14ac:dyDescent="0.3">
      <c r="BO54" t="s">
        <v>23</v>
      </c>
      <c r="BP54" s="45">
        <f>BP30</f>
        <v>0.7</v>
      </c>
      <c r="BQ54" t="s">
        <v>24</v>
      </c>
      <c r="BU54">
        <v>1</v>
      </c>
      <c r="BV54" s="365">
        <f t="shared" ref="BV54:BV68" si="78">BU54+12</f>
        <v>13</v>
      </c>
      <c r="BW54" s="29">
        <f t="shared" ref="BW54:BW68" si="79">$BP$57/BV54</f>
        <v>2.4495042241158574E-2</v>
      </c>
      <c r="CH54"/>
      <c r="CI54"/>
      <c r="CJ54" s="55"/>
      <c r="CL54" s="14"/>
      <c r="DL54" s="31"/>
      <c r="DO54"/>
      <c r="DP54" s="388"/>
      <c r="DQ54"/>
      <c r="EI54" s="272">
        <f t="shared" si="74"/>
        <v>40862</v>
      </c>
      <c r="FE54" s="162">
        <f>EI25</f>
        <v>77.00253477666223</v>
      </c>
      <c r="FF54" s="17">
        <f>FE54*(1-FE$32)*EXP($BV$38*15)</f>
        <v>71.425161779186013</v>
      </c>
      <c r="FG54" s="17">
        <f>FF54*(1-FF$32)*EXP($BV$38*15)</f>
        <v>66.251763659201814</v>
      </c>
    </row>
    <row r="55" spans="2:163" ht="13" customHeight="1" x14ac:dyDescent="0.3">
      <c r="AG55" s="522" t="s">
        <v>146</v>
      </c>
      <c r="AH55" s="522"/>
      <c r="AI55" s="12" t="s">
        <v>157</v>
      </c>
      <c r="AN55" s="6"/>
      <c r="AP55" s="6"/>
      <c r="AY55" s="366">
        <f>(LN(BA21/BA11))/(AZ21-AZ11)</f>
        <v>6.1850846464397407E-3</v>
      </c>
      <c r="BN55" s="77"/>
      <c r="BO55" t="s">
        <v>23</v>
      </c>
      <c r="BP55" s="106">
        <v>0.7</v>
      </c>
      <c r="BQ55" t="s">
        <v>22</v>
      </c>
      <c r="BU55">
        <v>2</v>
      </c>
      <c r="BV55" s="365">
        <f t="shared" si="78"/>
        <v>14</v>
      </c>
      <c r="BW55" s="29">
        <f t="shared" si="79"/>
        <v>2.2745396366790103E-2</v>
      </c>
      <c r="CH55"/>
      <c r="CI55"/>
      <c r="CJ55" s="55"/>
      <c r="CL55" s="14"/>
      <c r="DL55" s="31"/>
      <c r="EI55" s="272">
        <f t="shared" si="74"/>
        <v>40878</v>
      </c>
      <c r="FF55" s="162">
        <f>EI26</f>
        <v>81.73089161439367</v>
      </c>
      <c r="FG55" s="17">
        <f>FF55*(1-FF$32)*EXP($BV$38*15)</f>
        <v>75.811038855365652</v>
      </c>
    </row>
    <row r="56" spans="2:163" ht="13" x14ac:dyDescent="0.3">
      <c r="AG56" s="6" t="s">
        <v>158</v>
      </c>
      <c r="AK56" s="254"/>
      <c r="BJ56" s="254"/>
      <c r="BK56" s="254"/>
      <c r="BL56" s="254"/>
      <c r="BM56" s="254"/>
      <c r="BN56" s="77"/>
      <c r="BO56" t="s">
        <v>105</v>
      </c>
      <c r="BP56" s="82">
        <f>(1+($BP$53*$BP$54))*$BP$55</f>
        <v>1.3749749999999998</v>
      </c>
      <c r="BQ56" s="82"/>
      <c r="BU56">
        <v>3</v>
      </c>
      <c r="BV56" s="365">
        <f t="shared" si="78"/>
        <v>15</v>
      </c>
      <c r="BW56" s="29">
        <f t="shared" si="79"/>
        <v>2.1229036609004097E-2</v>
      </c>
      <c r="CH56"/>
      <c r="CI56"/>
      <c r="CJ56" s="55"/>
      <c r="DL56" s="31"/>
      <c r="EI56" s="272">
        <f t="shared" si="74"/>
        <v>40892</v>
      </c>
      <c r="EO56" s="26"/>
      <c r="FG56" s="162">
        <f>EI27</f>
        <v>0</v>
      </c>
    </row>
    <row r="57" spans="2:163" ht="13" customHeight="1" x14ac:dyDescent="0.3">
      <c r="AG57" t="s">
        <v>153</v>
      </c>
      <c r="AN57" s="16"/>
      <c r="BJ57" s="254"/>
      <c r="BK57" s="254"/>
      <c r="BL57" s="254"/>
      <c r="BM57" s="254"/>
      <c r="BO57" s="255" t="s">
        <v>26</v>
      </c>
      <c r="BP57" s="7">
        <f>LN(BP56)</f>
        <v>0.31843554913506145</v>
      </c>
      <c r="BU57">
        <v>4</v>
      </c>
      <c r="BV57" s="365">
        <f t="shared" si="78"/>
        <v>16</v>
      </c>
      <c r="BW57" s="29">
        <f t="shared" si="79"/>
        <v>1.990222182094134E-2</v>
      </c>
      <c r="CH57"/>
      <c r="CI57"/>
      <c r="CJ57" s="55"/>
      <c r="DL57" s="31"/>
      <c r="EI57" s="165" t="s">
        <v>181</v>
      </c>
      <c r="EJ57" s="165"/>
      <c r="EK57" s="165"/>
      <c r="EL57" s="165"/>
      <c r="EM57" s="165"/>
      <c r="EN57" s="165"/>
      <c r="EO57" s="166">
        <f>SUM(EO33)</f>
        <v>68.664309318720015</v>
      </c>
      <c r="EP57" s="166">
        <f>SUM(EP33:EP34)</f>
        <v>74.408914049046359</v>
      </c>
      <c r="EQ57" s="166">
        <f>SUM(EQ33:EQ35)</f>
        <v>9.3589327164010836</v>
      </c>
      <c r="ER57" s="166">
        <f>SUM(ER33:ER36)</f>
        <v>12.494891200198905</v>
      </c>
      <c r="ES57" s="166">
        <f>SUM(ES33:ES37)</f>
        <v>16.850756739275884</v>
      </c>
      <c r="ET57" s="166">
        <f>SUM(ET33:ET38)</f>
        <v>24.805072430079466</v>
      </c>
      <c r="EU57" s="166">
        <f>SUM(EU33:EU39)</f>
        <v>39.450678702129728</v>
      </c>
      <c r="EV57" s="166">
        <f>SUM(EV33:EV40)</f>
        <v>61.55468241080299</v>
      </c>
      <c r="EW57" s="166">
        <f>SUM(EW33:EW41)</f>
        <v>97.174272400292153</v>
      </c>
      <c r="EX57" s="166">
        <f>SUM(EX33:EX42)</f>
        <v>148.944810183085</v>
      </c>
      <c r="EY57" s="166">
        <f>SUM(EY33:EY43)</f>
        <v>222.0592313302007</v>
      </c>
      <c r="EZ57" s="166">
        <f>SUM(EZ33:EZ44)</f>
        <v>16.139159882865133</v>
      </c>
      <c r="FA57" s="166">
        <f>SUM(FA33:FA45)</f>
        <v>22.891771757701193</v>
      </c>
      <c r="FB57" s="166">
        <f>SUM(FB33:FB46)</f>
        <v>31.495116513829821</v>
      </c>
      <c r="FC57" s="166">
        <f>SUM(FC33:FC47)</f>
        <v>42.618604478521775</v>
      </c>
      <c r="FD57" s="166">
        <f>SUM(FD33:FD48)</f>
        <v>57.368370907907725</v>
      </c>
      <c r="FE57" s="166">
        <f>SUM(FE33:FE49)</f>
        <v>74.97921078718656</v>
      </c>
      <c r="FF57" s="166">
        <f>SUM(FF33:FF50)</f>
        <v>113.19398331045892</v>
      </c>
      <c r="FG57" s="166">
        <f>SUM(FG33:FG51)</f>
        <v>162.38518061463259</v>
      </c>
    </row>
    <row r="58" spans="2:163" ht="13" x14ac:dyDescent="0.3">
      <c r="AG58" t="s">
        <v>147</v>
      </c>
      <c r="BO58" s="255" t="s">
        <v>27</v>
      </c>
      <c r="BP58" s="6">
        <f>BP57/12</f>
        <v>2.6536295761255119E-2</v>
      </c>
      <c r="BU58">
        <v>5</v>
      </c>
      <c r="BV58" s="365">
        <f t="shared" si="78"/>
        <v>17</v>
      </c>
      <c r="BW58" s="79">
        <f t="shared" si="79"/>
        <v>1.8731502890297732E-2</v>
      </c>
      <c r="BX58" s="533" t="s">
        <v>259</v>
      </c>
      <c r="CH58"/>
      <c r="CI58"/>
      <c r="CJ58" s="55"/>
      <c r="EI58" t="s">
        <v>182</v>
      </c>
      <c r="EJ58" s="17">
        <f t="shared" ref="EJ58:FG58" si="80">SUM(EJ33:EJ56)</f>
        <v>100</v>
      </c>
      <c r="EK58" s="17">
        <f t="shared" si="80"/>
        <v>108.36621643372476</v>
      </c>
      <c r="EL58" s="17">
        <f t="shared" si="80"/>
        <v>136.29981586153599</v>
      </c>
      <c r="EM58" s="17">
        <f t="shared" si="80"/>
        <v>181.97068206426155</v>
      </c>
      <c r="EN58" s="17">
        <f t="shared" si="80"/>
        <v>245.40779491510668</v>
      </c>
      <c r="EO58" s="17">
        <f t="shared" si="80"/>
        <v>361.25132075444685</v>
      </c>
      <c r="EP58" s="17">
        <f t="shared" si="80"/>
        <v>574.5441713978513</v>
      </c>
      <c r="EQ58" s="17">
        <f t="shared" si="80"/>
        <v>89.645818943701642</v>
      </c>
      <c r="ER58" s="17">
        <f t="shared" si="80"/>
        <v>141.52078913258575</v>
      </c>
      <c r="ES58" s="17">
        <f t="shared" si="80"/>
        <v>216.91736458270628</v>
      </c>
      <c r="ET58" s="17">
        <f t="shared" si="80"/>
        <v>323.39833245750066</v>
      </c>
      <c r="EU58" s="17">
        <f t="shared" si="80"/>
        <v>470.08875624021135</v>
      </c>
      <c r="EV58" s="17">
        <f t="shared" si="80"/>
        <v>666.77352426117454</v>
      </c>
      <c r="EW58" s="17">
        <f t="shared" si="80"/>
        <v>917.36498411827051</v>
      </c>
      <c r="EX58" s="17">
        <f t="shared" si="80"/>
        <v>1241.3611933587918</v>
      </c>
      <c r="EY58" s="17">
        <f t="shared" si="80"/>
        <v>1670.9807897905207</v>
      </c>
      <c r="EZ58" s="17">
        <f t="shared" si="80"/>
        <v>109.19677417733078</v>
      </c>
      <c r="FA58" s="17">
        <f t="shared" si="80"/>
        <v>164.85126615785936</v>
      </c>
      <c r="FB58" s="17">
        <f t="shared" si="80"/>
        <v>236.49139156251795</v>
      </c>
      <c r="FC58" s="17">
        <f t="shared" si="80"/>
        <v>302.75994141539201</v>
      </c>
      <c r="FD58" s="17">
        <f t="shared" si="80"/>
        <v>363.64739703708608</v>
      </c>
      <c r="FE58" s="17">
        <f t="shared" si="80"/>
        <v>414.3105758598212</v>
      </c>
      <c r="FF58" s="17">
        <f t="shared" si="80"/>
        <v>466.03252523521564</v>
      </c>
      <c r="FG58" s="17">
        <f t="shared" si="80"/>
        <v>432.27730886823031</v>
      </c>
    </row>
    <row r="59" spans="2:163" ht="13" x14ac:dyDescent="0.3">
      <c r="AN59" s="86"/>
      <c r="AO59" s="86"/>
      <c r="AP59" s="86"/>
      <c r="BO59" s="255" t="s">
        <v>106</v>
      </c>
      <c r="BP59">
        <f>BP57/17</f>
        <v>1.8731502890297732E-2</v>
      </c>
      <c r="BQ59" s="12"/>
      <c r="BU59">
        <v>6</v>
      </c>
      <c r="BV59" s="365">
        <f t="shared" si="78"/>
        <v>18</v>
      </c>
      <c r="BW59" s="79">
        <f t="shared" si="79"/>
        <v>1.7690863840836749E-2</v>
      </c>
      <c r="BX59" s="533"/>
      <c r="CH59"/>
      <c r="CI59"/>
      <c r="CJ59" s="55"/>
      <c r="EI59" t="s">
        <v>183</v>
      </c>
      <c r="EJ59" s="37">
        <f t="shared" ref="EJ59:FG59" si="81">IF(EJ58=0,0,IF(EJ57/EJ58=1,0.99,EJ57/EJ58))</f>
        <v>0</v>
      </c>
      <c r="EK59" s="37">
        <f t="shared" si="81"/>
        <v>0</v>
      </c>
      <c r="EL59" s="37">
        <f t="shared" si="81"/>
        <v>0</v>
      </c>
      <c r="EM59" s="37">
        <f t="shared" si="81"/>
        <v>0</v>
      </c>
      <c r="EN59" s="37">
        <f t="shared" si="81"/>
        <v>0</v>
      </c>
      <c r="EO59" s="37">
        <f t="shared" si="81"/>
        <v>0.19007351772533218</v>
      </c>
      <c r="EP59" s="37">
        <f t="shared" si="81"/>
        <v>0.12950947508180505</v>
      </c>
      <c r="EQ59" s="37">
        <f t="shared" si="81"/>
        <v>0.10439898733345919</v>
      </c>
      <c r="ER59" s="37">
        <f t="shared" si="81"/>
        <v>8.8290146463873162E-2</v>
      </c>
      <c r="ES59" s="37">
        <f t="shared" si="81"/>
        <v>7.7682839138731211E-2</v>
      </c>
      <c r="ET59" s="37">
        <f t="shared" si="81"/>
        <v>7.6701299730230432E-2</v>
      </c>
      <c r="EU59" s="37">
        <f t="shared" si="81"/>
        <v>8.392176621635844E-2</v>
      </c>
      <c r="EV59" s="37">
        <f t="shared" si="81"/>
        <v>9.2317226421083989E-2</v>
      </c>
      <c r="EW59" s="37">
        <f t="shared" si="81"/>
        <v>0.1059276014264831</v>
      </c>
      <c r="EX59" s="37">
        <f t="shared" si="81"/>
        <v>0.11998507040491586</v>
      </c>
      <c r="EY59" s="37">
        <f t="shared" si="81"/>
        <v>0.13289155248639259</v>
      </c>
      <c r="EZ59" s="37">
        <f t="shared" si="81"/>
        <v>0.14779887047446882</v>
      </c>
      <c r="FA59" s="37">
        <f t="shared" si="81"/>
        <v>0.13886318431901118</v>
      </c>
      <c r="FB59" s="37">
        <f t="shared" si="81"/>
        <v>0.13317658755246445</v>
      </c>
      <c r="FC59" s="37">
        <f t="shared" si="81"/>
        <v>0.14076698614513303</v>
      </c>
      <c r="FD59" s="37">
        <f t="shared" si="81"/>
        <v>0.15775823331978117</v>
      </c>
      <c r="FE59" s="37">
        <f t="shared" si="81"/>
        <v>0.18097344155789835</v>
      </c>
      <c r="FF59" s="37">
        <f t="shared" si="81"/>
        <v>0.24288859077663671</v>
      </c>
      <c r="FG59" s="37">
        <f t="shared" si="81"/>
        <v>0.37565048473116119</v>
      </c>
    </row>
    <row r="60" spans="2:163" ht="13" customHeight="1" x14ac:dyDescent="0.3">
      <c r="AG60" s="374" t="s">
        <v>88</v>
      </c>
      <c r="AH60" s="256" t="s">
        <v>148</v>
      </c>
      <c r="AW60" s="53" t="s">
        <v>33</v>
      </c>
      <c r="AX60" s="53"/>
      <c r="AY60" s="255"/>
      <c r="BA60" s="255"/>
      <c r="BU60">
        <v>7</v>
      </c>
      <c r="BV60" s="365">
        <f t="shared" si="78"/>
        <v>19</v>
      </c>
      <c r="BW60" s="79">
        <f t="shared" si="79"/>
        <v>1.6759765743950602E-2</v>
      </c>
      <c r="BX60" s="533"/>
      <c r="EI60" s="20"/>
    </row>
    <row r="61" spans="2:163" ht="13" x14ac:dyDescent="0.3">
      <c r="AG61" s="29">
        <v>2.4E-2</v>
      </c>
      <c r="AH61" s="18">
        <f>(LN(2))/AG61</f>
        <v>28.881132523331054</v>
      </c>
      <c r="AN61" s="254"/>
      <c r="AX61" s="255" t="s">
        <v>35</v>
      </c>
      <c r="AY61" s="255" t="s">
        <v>262</v>
      </c>
      <c r="AZ61" s="67" t="s">
        <v>17</v>
      </c>
      <c r="BA61" s="255"/>
      <c r="BO61" s="6" t="s">
        <v>19</v>
      </c>
      <c r="BR61" s="373"/>
      <c r="BU61">
        <v>8</v>
      </c>
      <c r="BV61" s="365">
        <f t="shared" si="78"/>
        <v>20</v>
      </c>
      <c r="BW61" s="79">
        <f t="shared" si="79"/>
        <v>1.5921777456753071E-2</v>
      </c>
      <c r="BX61" s="533"/>
    </row>
    <row r="62" spans="2:163" x14ac:dyDescent="0.25">
      <c r="AG62" s="29">
        <f t="shared" ref="AG62:AG83" si="82">AG61-0.001</f>
        <v>2.3E-2</v>
      </c>
      <c r="AH62" s="18">
        <f>(LN(2))/AG62</f>
        <v>30.136833937388925</v>
      </c>
      <c r="BN62" s="534" t="s">
        <v>112</v>
      </c>
      <c r="BO62" s="82" t="s">
        <v>20</v>
      </c>
      <c r="BP62" s="44">
        <f>BP31</f>
        <v>3.5</v>
      </c>
      <c r="BQ62" s="12" t="s">
        <v>21</v>
      </c>
      <c r="BR62" s="373"/>
      <c r="BU62">
        <v>9</v>
      </c>
      <c r="BV62" s="365">
        <f t="shared" si="78"/>
        <v>21</v>
      </c>
      <c r="BW62" s="79">
        <f t="shared" si="79"/>
        <v>1.516359757786007E-2</v>
      </c>
      <c r="BX62" s="533"/>
    </row>
    <row r="63" spans="2:163" ht="13" x14ac:dyDescent="0.3">
      <c r="AG63" s="29">
        <f t="shared" si="82"/>
        <v>2.1999999999999999E-2</v>
      </c>
      <c r="AH63" s="18">
        <f>(LN(2))/AG63</f>
        <v>31.506690025452059</v>
      </c>
      <c r="AX63" s="255"/>
      <c r="AZ63" s="36"/>
      <c r="BN63" s="534"/>
      <c r="BO63" s="82" t="s">
        <v>23</v>
      </c>
      <c r="BP63" s="46">
        <f>BP32</f>
        <v>0.7</v>
      </c>
      <c r="BQ63" t="s">
        <v>25</v>
      </c>
      <c r="BR63" s="48"/>
      <c r="BU63">
        <v>10</v>
      </c>
      <c r="BV63" s="365">
        <f t="shared" si="78"/>
        <v>22</v>
      </c>
      <c r="BW63" s="79">
        <f t="shared" si="79"/>
        <v>1.4474343142502793E-2</v>
      </c>
      <c r="BX63" s="533"/>
    </row>
    <row r="64" spans="2:163" ht="13" x14ac:dyDescent="0.3">
      <c r="AG64" s="29">
        <f t="shared" si="82"/>
        <v>2.0999999999999998E-2</v>
      </c>
      <c r="AH64" s="18">
        <f t="shared" ref="AH64:AH80" si="83">(LN(2))/AG64</f>
        <v>33.007008598092639</v>
      </c>
      <c r="AU64" s="68"/>
      <c r="AV64" s="68"/>
      <c r="AX64" s="101" t="s">
        <v>261</v>
      </c>
      <c r="AY64">
        <v>1993</v>
      </c>
      <c r="AZ64" s="34">
        <v>3.0571428571428572E-2</v>
      </c>
      <c r="BN64" s="534"/>
      <c r="BO64" s="82" t="s">
        <v>107</v>
      </c>
      <c r="BP64" s="44">
        <v>0.7</v>
      </c>
      <c r="BQ64" t="s">
        <v>22</v>
      </c>
      <c r="BU64">
        <v>11</v>
      </c>
      <c r="BV64" s="365">
        <f t="shared" si="78"/>
        <v>23</v>
      </c>
      <c r="BW64" s="79">
        <f t="shared" si="79"/>
        <v>1.3845023875437455E-2</v>
      </c>
      <c r="BX64" s="533"/>
    </row>
    <row r="65" spans="33:148" ht="13" x14ac:dyDescent="0.3">
      <c r="AG65" s="29">
        <f t="shared" si="82"/>
        <v>1.9999999999999997E-2</v>
      </c>
      <c r="AH65" s="18">
        <f t="shared" si="83"/>
        <v>34.657359027997266</v>
      </c>
      <c r="AU65" s="144"/>
      <c r="AV65" s="144"/>
      <c r="AX65" s="101" t="s">
        <v>254</v>
      </c>
      <c r="AY65">
        <v>2007</v>
      </c>
      <c r="AZ65" s="34">
        <v>2.7285714285714285E-2</v>
      </c>
      <c r="BO65" t="s">
        <v>105</v>
      </c>
      <c r="BP65">
        <f>(1+(BP62*BP63))*BP64</f>
        <v>2.4149999999999996</v>
      </c>
      <c r="BU65">
        <v>12</v>
      </c>
      <c r="BV65" s="365">
        <f t="shared" si="78"/>
        <v>24</v>
      </c>
      <c r="BW65" s="79">
        <f t="shared" si="79"/>
        <v>1.326814788062756E-2</v>
      </c>
      <c r="BX65" s="533"/>
    </row>
    <row r="66" spans="33:148" ht="13" x14ac:dyDescent="0.3">
      <c r="AG66" s="29">
        <f>AG65-0.001</f>
        <v>1.8999999999999996E-2</v>
      </c>
      <c r="AH66" s="18">
        <f t="shared" si="83"/>
        <v>36.481430555786602</v>
      </c>
      <c r="AR66" s="285"/>
      <c r="AS66" s="285"/>
      <c r="AT66" s="285"/>
      <c r="AU66" s="286"/>
      <c r="AV66" s="286"/>
      <c r="AW66" s="285"/>
      <c r="AX66" s="287" t="s">
        <v>37</v>
      </c>
      <c r="AZ66" s="36">
        <v>2.3E-2</v>
      </c>
      <c r="BO66" s="255" t="s">
        <v>26</v>
      </c>
      <c r="BP66">
        <f>LN(BP65)</f>
        <v>0.88169928710453582</v>
      </c>
      <c r="BU66">
        <v>13</v>
      </c>
      <c r="BV66" s="365">
        <f t="shared" si="78"/>
        <v>25</v>
      </c>
      <c r="BW66" s="79">
        <f t="shared" si="79"/>
        <v>1.2737421965402458E-2</v>
      </c>
      <c r="BX66" s="533"/>
    </row>
    <row r="67" spans="33:148" ht="13" x14ac:dyDescent="0.3">
      <c r="AG67" s="29">
        <f t="shared" si="82"/>
        <v>1.7999999999999995E-2</v>
      </c>
      <c r="AH67" s="18">
        <f t="shared" si="83"/>
        <v>38.508176697774751</v>
      </c>
      <c r="AU67" s="144"/>
      <c r="AV67" s="144"/>
      <c r="AX67" s="101" t="s">
        <v>275</v>
      </c>
      <c r="AY67">
        <v>1999</v>
      </c>
      <c r="AZ67" s="34">
        <v>2.2936022002005126E-2</v>
      </c>
      <c r="BO67" s="255" t="s">
        <v>27</v>
      </c>
      <c r="BP67" s="6">
        <f>BP66/15</f>
        <v>5.8779952473635724E-2</v>
      </c>
      <c r="BU67">
        <v>14</v>
      </c>
      <c r="BV67" s="365">
        <f t="shared" si="78"/>
        <v>26</v>
      </c>
      <c r="BW67" s="79">
        <f t="shared" si="79"/>
        <v>1.2247521120579287E-2</v>
      </c>
      <c r="BX67" s="533"/>
      <c r="CD67" s="32"/>
      <c r="CE67" s="32"/>
    </row>
    <row r="68" spans="33:148" ht="12.75" customHeight="1" x14ac:dyDescent="0.3">
      <c r="AG68" s="29">
        <f t="shared" si="82"/>
        <v>1.6999999999999994E-2</v>
      </c>
      <c r="AH68" s="18">
        <f t="shared" si="83"/>
        <v>40.773363562349736</v>
      </c>
      <c r="AV68" s="60"/>
      <c r="AW68" s="60"/>
      <c r="AX68" s="101" t="s">
        <v>273</v>
      </c>
      <c r="AY68">
        <v>2002</v>
      </c>
      <c r="AZ68" s="34">
        <v>2.2714285714285715E-2</v>
      </c>
      <c r="BO68" s="255"/>
      <c r="BU68">
        <v>15</v>
      </c>
      <c r="BV68" s="365">
        <f t="shared" si="78"/>
        <v>27</v>
      </c>
      <c r="BW68" s="79">
        <f t="shared" si="79"/>
        <v>1.1793909227224498E-2</v>
      </c>
      <c r="BX68" s="533"/>
      <c r="BY68"/>
      <c r="BZ68"/>
      <c r="CA68"/>
      <c r="CD68" s="32"/>
      <c r="CE68" s="32"/>
    </row>
    <row r="69" spans="33:148" ht="12.75" customHeight="1" x14ac:dyDescent="0.3">
      <c r="AG69" s="29">
        <f t="shared" si="82"/>
        <v>1.5999999999999993E-2</v>
      </c>
      <c r="AH69" s="18">
        <f t="shared" si="83"/>
        <v>43.321698784996599</v>
      </c>
      <c r="AU69" s="60"/>
      <c r="AV69" s="60"/>
      <c r="AW69" s="60"/>
      <c r="AX69" s="101" t="s">
        <v>263</v>
      </c>
      <c r="AY69">
        <v>1994</v>
      </c>
      <c r="AZ69" s="288">
        <v>2.1428571428571429E-2</v>
      </c>
      <c r="BA69" s="535" t="s">
        <v>280</v>
      </c>
      <c r="CD69" s="32"/>
      <c r="CE69" s="32"/>
    </row>
    <row r="70" spans="33:148" ht="12.75" customHeight="1" x14ac:dyDescent="0.3">
      <c r="AG70" s="29">
        <f t="shared" si="82"/>
        <v>1.4999999999999993E-2</v>
      </c>
      <c r="AH70" s="18">
        <f t="shared" si="83"/>
        <v>46.209812037329712</v>
      </c>
      <c r="AU70" s="60"/>
      <c r="AV70" s="60"/>
      <c r="AW70" s="60"/>
      <c r="AX70" s="101" t="s">
        <v>267</v>
      </c>
      <c r="AY70" s="20">
        <v>1997</v>
      </c>
      <c r="AZ70" s="289">
        <v>2.1428571428571429E-2</v>
      </c>
      <c r="BA70" s="535"/>
      <c r="BO70" s="49" t="s">
        <v>236</v>
      </c>
      <c r="BP70" s="49"/>
      <c r="BQ70" s="49"/>
      <c r="BR70" s="49"/>
      <c r="BS70" s="49"/>
      <c r="BT70" s="12"/>
      <c r="BU70" s="12"/>
      <c r="CD70" s="32"/>
      <c r="CE70" s="32"/>
    </row>
    <row r="71" spans="33:148" ht="12.75" customHeight="1" x14ac:dyDescent="0.3">
      <c r="AG71" s="29">
        <f t="shared" si="82"/>
        <v>1.3999999999999992E-2</v>
      </c>
      <c r="AH71" s="18">
        <f t="shared" si="83"/>
        <v>49.51051289713898</v>
      </c>
      <c r="AV71" s="159"/>
      <c r="AW71" s="159"/>
      <c r="AX71" s="255" t="s">
        <v>36</v>
      </c>
      <c r="AY71">
        <v>1999</v>
      </c>
      <c r="AZ71" s="290">
        <v>2.1000000000000001E-2</v>
      </c>
      <c r="BA71" s="535"/>
      <c r="BO71" s="65">
        <v>5.0000000000000001E-3</v>
      </c>
      <c r="BP71" t="s">
        <v>28</v>
      </c>
      <c r="BQ71" s="50">
        <f>1-BO71</f>
        <v>0.995</v>
      </c>
      <c r="BR71" t="s">
        <v>29</v>
      </c>
      <c r="BT71" t="s">
        <v>30</v>
      </c>
      <c r="CD71" s="32"/>
      <c r="CE71" s="32"/>
      <c r="ER71" s="18"/>
    </row>
    <row r="72" spans="33:148" ht="13" x14ac:dyDescent="0.3">
      <c r="AG72" s="29">
        <f t="shared" si="82"/>
        <v>1.2999999999999991E-2</v>
      </c>
      <c r="AH72" s="18">
        <f t="shared" si="83"/>
        <v>53.319013889226596</v>
      </c>
      <c r="AU72" s="159"/>
      <c r="AV72" s="159"/>
      <c r="AW72" s="159"/>
      <c r="AX72" s="101" t="s">
        <v>254</v>
      </c>
      <c r="AY72">
        <v>2007</v>
      </c>
      <c r="AZ72" s="288">
        <v>2.0714285714285713E-2</v>
      </c>
      <c r="BA72" s="535"/>
      <c r="BO72" s="12">
        <f>LN(BQ71)</f>
        <v>-5.0125418235442863E-3</v>
      </c>
      <c r="BP72" t="s">
        <v>31</v>
      </c>
      <c r="CD72" s="32"/>
      <c r="CE72" s="32"/>
    </row>
    <row r="73" spans="33:148" ht="13" x14ac:dyDescent="0.3">
      <c r="AG73" s="29">
        <f t="shared" si="82"/>
        <v>1.199999999999999E-2</v>
      </c>
      <c r="AH73" s="18">
        <f t="shared" si="83"/>
        <v>57.762265046662158</v>
      </c>
      <c r="AU73" s="159"/>
      <c r="AV73" s="159"/>
      <c r="AW73" s="159"/>
      <c r="AX73" s="101" t="s">
        <v>266</v>
      </c>
      <c r="AY73">
        <v>1996</v>
      </c>
      <c r="AZ73" s="288">
        <v>1.9857142857142858E-2</v>
      </c>
      <c r="BA73" s="535"/>
      <c r="BO73" s="51">
        <f>100*EXP(BO72*100)</f>
        <v>60.577043649072792</v>
      </c>
      <c r="BP73" s="52" t="s">
        <v>32</v>
      </c>
      <c r="BQ73" s="52"/>
      <c r="BR73" s="52"/>
      <c r="CA73"/>
      <c r="CB73"/>
      <c r="CC73"/>
      <c r="CD73"/>
      <c r="CE73"/>
      <c r="CF73"/>
    </row>
    <row r="74" spans="33:148" ht="12.75" customHeight="1" x14ac:dyDescent="0.3">
      <c r="AG74" s="29">
        <f t="shared" si="82"/>
        <v>1.0999999999999989E-2</v>
      </c>
      <c r="AH74" s="18">
        <f t="shared" si="83"/>
        <v>63.013380050904182</v>
      </c>
      <c r="AS74" s="22"/>
      <c r="AT74" s="22"/>
      <c r="AX74" s="101" t="s">
        <v>255</v>
      </c>
      <c r="AY74">
        <v>2007</v>
      </c>
      <c r="AZ74" s="288">
        <v>1.9571428571428573E-2</v>
      </c>
      <c r="BA74" s="535"/>
      <c r="BW74" s="536" t="s">
        <v>256</v>
      </c>
      <c r="BX74" s="536"/>
      <c r="BY74" s="536"/>
      <c r="BZ74" s="536"/>
      <c r="CA74" s="536"/>
      <c r="CB74" s="536"/>
      <c r="CC74"/>
      <c r="CD74"/>
      <c r="CE74"/>
      <c r="CF74"/>
    </row>
    <row r="75" spans="33:148" ht="13" x14ac:dyDescent="0.3">
      <c r="AG75" s="29">
        <f t="shared" si="82"/>
        <v>9.9999999999999881E-3</v>
      </c>
      <c r="AH75" s="18">
        <f t="shared" si="83"/>
        <v>69.314718055994618</v>
      </c>
      <c r="AX75" s="255" t="s">
        <v>279</v>
      </c>
      <c r="AY75">
        <v>2016</v>
      </c>
      <c r="AZ75" s="290">
        <v>1.9E-2</v>
      </c>
      <c r="BA75" s="535"/>
      <c r="BO75" s="49" t="s">
        <v>237</v>
      </c>
      <c r="BW75" s="536"/>
      <c r="BX75" s="536"/>
      <c r="BY75" s="536"/>
      <c r="BZ75" s="536"/>
      <c r="CA75" s="536"/>
      <c r="CB75" s="536"/>
    </row>
    <row r="76" spans="33:148" ht="13" x14ac:dyDescent="0.3">
      <c r="AG76" s="29">
        <f t="shared" si="82"/>
        <v>8.9999999999999872E-3</v>
      </c>
      <c r="AH76" s="18">
        <f t="shared" si="83"/>
        <v>77.016353395549586</v>
      </c>
      <c r="AX76" s="101" t="s">
        <v>264</v>
      </c>
      <c r="AY76">
        <v>1995</v>
      </c>
      <c r="AZ76" s="288">
        <v>1.8714285714285715E-2</v>
      </c>
      <c r="BA76" s="535"/>
      <c r="BO76" s="65">
        <v>0.01</v>
      </c>
      <c r="BP76" t="s">
        <v>28</v>
      </c>
      <c r="BQ76" s="50">
        <f>1-BO76</f>
        <v>0.99</v>
      </c>
      <c r="BR76" t="s">
        <v>29</v>
      </c>
      <c r="BW76" s="536"/>
      <c r="BX76" s="536"/>
      <c r="BY76" s="536"/>
      <c r="BZ76" s="536"/>
      <c r="CA76" s="536"/>
      <c r="CB76" s="536"/>
    </row>
    <row r="77" spans="33:148" ht="13" x14ac:dyDescent="0.3">
      <c r="AG77" s="29">
        <f t="shared" si="82"/>
        <v>7.9999999999999863E-3</v>
      </c>
      <c r="AH77" s="18">
        <f t="shared" si="83"/>
        <v>86.643397569993311</v>
      </c>
      <c r="AX77" s="101" t="s">
        <v>254</v>
      </c>
      <c r="AY77">
        <v>2007</v>
      </c>
      <c r="AZ77" s="288">
        <v>1.7428571428571429E-2</v>
      </c>
      <c r="BA77" s="535"/>
      <c r="BO77" s="12">
        <f>LN(BQ76)</f>
        <v>-1.0050335853501451E-2</v>
      </c>
      <c r="BP77" t="s">
        <v>31</v>
      </c>
      <c r="BW77" s="536"/>
      <c r="BX77" s="536"/>
      <c r="BY77" s="536"/>
      <c r="BZ77" s="536"/>
      <c r="CA77" s="536"/>
      <c r="CB77" s="536"/>
    </row>
    <row r="78" spans="33:148" ht="12.75" customHeight="1" x14ac:dyDescent="0.3">
      <c r="AG78" s="29">
        <f t="shared" si="82"/>
        <v>6.9999999999999863E-3</v>
      </c>
      <c r="AH78" s="18">
        <f t="shared" si="83"/>
        <v>99.021025794278088</v>
      </c>
      <c r="AX78" s="255" t="s">
        <v>131</v>
      </c>
      <c r="AY78">
        <v>2000</v>
      </c>
      <c r="AZ78" s="290">
        <v>1.7000000000000001E-2</v>
      </c>
      <c r="BA78" s="535"/>
      <c r="BO78" s="276">
        <v>3</v>
      </c>
      <c r="BP78" s="277">
        <v>19</v>
      </c>
      <c r="BQ78" t="s">
        <v>238</v>
      </c>
      <c r="BT78">
        <f>BO78*BP78</f>
        <v>57</v>
      </c>
      <c r="BU78" t="s">
        <v>239</v>
      </c>
      <c r="BW78" s="536"/>
      <c r="BX78" s="536"/>
      <c r="BY78" s="536"/>
      <c r="BZ78" s="536"/>
      <c r="CA78" s="536"/>
      <c r="CB78" s="536"/>
      <c r="CC78" s="33"/>
      <c r="CD78" s="33"/>
      <c r="CE78" s="33"/>
      <c r="CF78" s="33"/>
      <c r="CG78" s="33"/>
      <c r="CH78" s="33"/>
      <c r="CI78" s="33"/>
      <c r="CJ78" s="33"/>
      <c r="CK78" s="33"/>
      <c r="CL78" s="88"/>
    </row>
    <row r="79" spans="33:148" ht="13" x14ac:dyDescent="0.3">
      <c r="AG79" s="29">
        <f t="shared" si="82"/>
        <v>5.9999999999999862E-3</v>
      </c>
      <c r="AH79" s="18">
        <f t="shared" si="83"/>
        <v>115.52453009332447</v>
      </c>
      <c r="AX79" s="101" t="s">
        <v>274</v>
      </c>
      <c r="AY79">
        <v>2002</v>
      </c>
      <c r="AZ79" s="34">
        <v>1.3571428571428571E-2</v>
      </c>
      <c r="BO79" s="51">
        <f>100*EXP(BO77*BT78)</f>
        <v>56.390519045238761</v>
      </c>
      <c r="BP79" s="52" t="s">
        <v>240</v>
      </c>
      <c r="BQ79" s="52">
        <f>BT78</f>
        <v>57</v>
      </c>
      <c r="BR79" s="52" t="s">
        <v>241</v>
      </c>
      <c r="DO79" s="35"/>
      <c r="DP79" s="390"/>
      <c r="DQ79" s="35"/>
      <c r="DR79" s="34"/>
      <c r="DS79" s="34"/>
      <c r="DU79" s="36"/>
      <c r="DV79" s="34"/>
      <c r="EH79" s="21"/>
      <c r="EI79" s="18"/>
    </row>
    <row r="80" spans="33:148" s="20" customFormat="1" ht="12.75" customHeight="1" x14ac:dyDescent="0.3">
      <c r="AG80" s="29">
        <f t="shared" si="82"/>
        <v>4.9999999999999862E-3</v>
      </c>
      <c r="AH80" s="18">
        <f t="shared" si="83"/>
        <v>138.62943611198943</v>
      </c>
      <c r="AR80"/>
      <c r="AX80" s="101" t="s">
        <v>265</v>
      </c>
      <c r="AY80">
        <v>1995</v>
      </c>
      <c r="AZ80" s="34">
        <v>1.1428571428571429E-2</v>
      </c>
      <c r="BB80" s="300"/>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88"/>
      <c r="DQ80"/>
      <c r="DR80"/>
      <c r="DS80"/>
      <c r="DT80"/>
      <c r="DU80" s="39"/>
      <c r="DW80"/>
      <c r="DX80"/>
      <c r="DY80"/>
      <c r="DZ80"/>
      <c r="EA80"/>
      <c r="EB80"/>
      <c r="EC80"/>
      <c r="ED80"/>
      <c r="EE80"/>
      <c r="EF80"/>
      <c r="EG80"/>
      <c r="EH80" s="40"/>
      <c r="EI80" s="38"/>
    </row>
    <row r="81" spans="33:139" ht="13" x14ac:dyDescent="0.3">
      <c r="AG81" s="29">
        <f>AG80-0.001</f>
        <v>3.9999999999999862E-3</v>
      </c>
      <c r="AH81" s="18">
        <f>(LN(2))/AG81</f>
        <v>173.28679513998691</v>
      </c>
      <c r="AX81" s="101" t="s">
        <v>276</v>
      </c>
      <c r="AY81">
        <v>1999</v>
      </c>
      <c r="AZ81" s="34">
        <v>1.035681555964402E-2</v>
      </c>
      <c r="BW81" s="373" t="s">
        <v>243</v>
      </c>
      <c r="CG81"/>
      <c r="DO81"/>
      <c r="DP81" s="388"/>
      <c r="DQ81"/>
      <c r="EH81" s="41"/>
      <c r="EI81" s="18"/>
    </row>
    <row r="82" spans="33:139" ht="12.75" customHeight="1" x14ac:dyDescent="0.3">
      <c r="AG82" s="29">
        <f t="shared" si="82"/>
        <v>2.9999999999999862E-3</v>
      </c>
      <c r="AH82" s="18">
        <f>(LN(2))/AG82</f>
        <v>231.04906018664948</v>
      </c>
      <c r="AX82" s="255" t="s">
        <v>260</v>
      </c>
      <c r="AY82">
        <v>2000</v>
      </c>
      <c r="AZ82" s="34">
        <v>0.01</v>
      </c>
      <c r="BQ82" s="18"/>
      <c r="CG82"/>
      <c r="DO82"/>
      <c r="DP82" s="388"/>
      <c r="DQ82"/>
    </row>
    <row r="83" spans="33:139" ht="13" x14ac:dyDescent="0.3">
      <c r="AG83" s="29">
        <f t="shared" si="82"/>
        <v>1.9999999999999862E-3</v>
      </c>
      <c r="AH83" s="18">
        <f>(LN(2))/AG83</f>
        <v>346.57359027997506</v>
      </c>
      <c r="AX83" s="101" t="s">
        <v>255</v>
      </c>
      <c r="AY83">
        <v>2007</v>
      </c>
      <c r="AZ83" s="34">
        <v>8.7142857142857143E-3</v>
      </c>
      <c r="BG83" s="6"/>
      <c r="CD83" s="43"/>
      <c r="CE83" s="43"/>
      <c r="CF83" s="365"/>
      <c r="CG83" s="365"/>
      <c r="DO83"/>
      <c r="DP83" s="388"/>
      <c r="DQ83"/>
      <c r="EH83" s="21"/>
      <c r="EI83" s="18"/>
    </row>
    <row r="84" spans="33:139" ht="13" x14ac:dyDescent="0.3">
      <c r="AX84" s="101" t="s">
        <v>272</v>
      </c>
      <c r="AY84">
        <v>2001</v>
      </c>
      <c r="AZ84" s="34">
        <v>6.7142857142857143E-3</v>
      </c>
      <c r="BR84" s="21"/>
      <c r="BS84" s="21"/>
      <c r="CG84"/>
      <c r="DO84"/>
      <c r="DP84" s="388"/>
      <c r="DQ84"/>
      <c r="EH84" s="21"/>
      <c r="EI84" s="18"/>
    </row>
    <row r="85" spans="33:139" ht="13" x14ac:dyDescent="0.3">
      <c r="AX85" s="101" t="s">
        <v>268</v>
      </c>
      <c r="AY85">
        <v>1999</v>
      </c>
      <c r="AZ85" s="34">
        <v>4.7142857142857143E-3</v>
      </c>
      <c r="CD85" s="365"/>
      <c r="CE85" s="365"/>
      <c r="CF85" s="365"/>
      <c r="CG85" s="365"/>
      <c r="DO85"/>
      <c r="DP85" s="388"/>
      <c r="DQ85"/>
      <c r="EH85" s="21"/>
      <c r="EI85" s="18"/>
    </row>
    <row r="86" spans="33:139" ht="50" x14ac:dyDescent="0.3">
      <c r="AX86" s="101" t="s">
        <v>278</v>
      </c>
      <c r="AY86">
        <v>1999</v>
      </c>
      <c r="AZ86" s="288">
        <v>3.9670639760890931E-3</v>
      </c>
      <c r="BA86" s="521" t="s">
        <v>281</v>
      </c>
      <c r="BZ86" s="364"/>
      <c r="CA86" s="367" t="s">
        <v>249</v>
      </c>
      <c r="CB86" s="257" t="s">
        <v>247</v>
      </c>
      <c r="CC86" s="360" t="s">
        <v>248</v>
      </c>
      <c r="CD86" s="367" t="s">
        <v>315</v>
      </c>
      <c r="CE86" s="367"/>
      <c r="CG86" s="365"/>
      <c r="DU86" s="44"/>
      <c r="DV86" s="44"/>
    </row>
    <row r="87" spans="33:139" ht="37.5" x14ac:dyDescent="0.3">
      <c r="AX87" s="101" t="s">
        <v>271</v>
      </c>
      <c r="AY87">
        <v>2000</v>
      </c>
      <c r="AZ87" s="288">
        <v>3.4285714285714288E-3</v>
      </c>
      <c r="BA87" s="521"/>
      <c r="BZ87" s="367" t="s">
        <v>245</v>
      </c>
      <c r="CA87" s="367" t="s">
        <v>244</v>
      </c>
      <c r="CB87" s="367">
        <f>BV127</f>
        <v>0</v>
      </c>
      <c r="CC87" s="367" t="s">
        <v>246</v>
      </c>
      <c r="CD87" s="364"/>
      <c r="CE87" s="364"/>
      <c r="CF87" s="255" t="s">
        <v>250</v>
      </c>
      <c r="CG87" s="365"/>
    </row>
    <row r="88" spans="33:139" ht="13" x14ac:dyDescent="0.3">
      <c r="AX88" s="101" t="s">
        <v>269</v>
      </c>
      <c r="AY88">
        <v>1999</v>
      </c>
      <c r="AZ88" s="288">
        <v>3.2857142857142855E-3</v>
      </c>
      <c r="BA88" s="521"/>
      <c r="BY88" s="255">
        <v>40</v>
      </c>
      <c r="BZ88" s="52">
        <v>0</v>
      </c>
      <c r="CA88" s="283">
        <v>1E-3</v>
      </c>
      <c r="CB88" s="52">
        <v>40</v>
      </c>
      <c r="CC88" s="74">
        <f t="shared" ref="CC88:CC106" si="84">12+CB88</f>
        <v>52</v>
      </c>
      <c r="CD88" s="27">
        <f t="shared" ref="CD88:CD106" si="85">-$CF$91*LN(CA88)+$CF$88</f>
        <v>39.538776394910684</v>
      </c>
      <c r="CE88" s="27"/>
      <c r="CF88" s="282">
        <v>5</v>
      </c>
      <c r="CG88" s="365"/>
    </row>
    <row r="89" spans="33:139" ht="13" x14ac:dyDescent="0.3">
      <c r="AX89" s="101" t="s">
        <v>255</v>
      </c>
      <c r="AY89">
        <v>2007</v>
      </c>
      <c r="AZ89" s="288">
        <v>3.0000000000000001E-3</v>
      </c>
      <c r="BA89" s="521"/>
      <c r="BY89" s="255">
        <v>30</v>
      </c>
      <c r="BZ89" s="52">
        <v>10</v>
      </c>
      <c r="CA89" s="281">
        <f t="shared" ref="CA89:CA106" si="86">BZ89*20/8000</f>
        <v>2.5000000000000001E-2</v>
      </c>
      <c r="CB89" s="52">
        <v>30</v>
      </c>
      <c r="CC89" s="74">
        <f t="shared" si="84"/>
        <v>42</v>
      </c>
      <c r="CD89" s="27">
        <f t="shared" si="85"/>
        <v>23.444397270569681</v>
      </c>
      <c r="CE89" s="27"/>
      <c r="CG89" s="365"/>
    </row>
    <row r="90" spans="33:139" ht="13" x14ac:dyDescent="0.3">
      <c r="AX90" s="101" t="s">
        <v>270</v>
      </c>
      <c r="AY90">
        <v>2000</v>
      </c>
      <c r="AZ90" s="288">
        <v>2.142857142857143E-3</v>
      </c>
      <c r="BA90" s="521"/>
      <c r="BY90" s="255">
        <v>20</v>
      </c>
      <c r="BZ90" s="52">
        <v>25</v>
      </c>
      <c r="CA90" s="281">
        <f t="shared" si="86"/>
        <v>6.25E-2</v>
      </c>
      <c r="CB90" s="52">
        <v>20</v>
      </c>
      <c r="CC90" s="74">
        <f t="shared" si="84"/>
        <v>32</v>
      </c>
      <c r="CD90" s="27">
        <f t="shared" si="85"/>
        <v>18.862943611198908</v>
      </c>
      <c r="CE90" s="27"/>
      <c r="CF90" s="255" t="s">
        <v>251</v>
      </c>
      <c r="CG90" s="365"/>
    </row>
    <row r="91" spans="33:139" ht="13" x14ac:dyDescent="0.3">
      <c r="AX91" s="101" t="s">
        <v>277</v>
      </c>
      <c r="AY91">
        <v>1999</v>
      </c>
      <c r="AZ91" s="288">
        <v>-8.0662155061252579E-3</v>
      </c>
      <c r="BA91" s="521"/>
      <c r="BT91">
        <v>1.45</v>
      </c>
      <c r="BU91">
        <v>16.2</v>
      </c>
      <c r="BV91" s="284">
        <f>LN(BT91)/BU91</f>
        <v>2.2936022002005126E-2</v>
      </c>
      <c r="BY91" s="255">
        <v>17</v>
      </c>
      <c r="BZ91" s="52">
        <v>40</v>
      </c>
      <c r="CA91" s="281">
        <f t="shared" si="86"/>
        <v>0.1</v>
      </c>
      <c r="CB91" s="52">
        <v>17</v>
      </c>
      <c r="CC91" s="74">
        <f t="shared" si="84"/>
        <v>29</v>
      </c>
      <c r="CD91" s="27">
        <f t="shared" si="85"/>
        <v>16.512925464970227</v>
      </c>
      <c r="CE91" s="27"/>
      <c r="CF91" s="282">
        <v>5</v>
      </c>
      <c r="CO91" s="374"/>
      <c r="CP91" s="374"/>
      <c r="CQ91" s="374"/>
      <c r="CR91" s="374"/>
    </row>
    <row r="92" spans="33:139" ht="13" x14ac:dyDescent="0.3">
      <c r="BT92">
        <v>1.22</v>
      </c>
      <c r="BU92">
        <v>19.2</v>
      </c>
      <c r="BV92" s="284">
        <f>LN(BT92)/BU92</f>
        <v>1.035681555964402E-2</v>
      </c>
      <c r="BZ92" s="278">
        <v>50</v>
      </c>
      <c r="CA92" s="280">
        <f t="shared" si="86"/>
        <v>0.125</v>
      </c>
      <c r="CB92" s="279">
        <v>14.285714285714285</v>
      </c>
      <c r="CC92" s="279">
        <f t="shared" si="84"/>
        <v>26.285714285714285</v>
      </c>
      <c r="CD92" s="27">
        <f t="shared" si="85"/>
        <v>15.397207708399179</v>
      </c>
      <c r="CE92" s="27"/>
      <c r="CO92" s="374"/>
      <c r="CP92" s="374"/>
      <c r="CQ92" s="374"/>
      <c r="CR92" s="374"/>
    </row>
    <row r="93" spans="33:139" x14ac:dyDescent="0.25">
      <c r="BT93">
        <v>1.08</v>
      </c>
      <c r="BU93">
        <v>19.399999999999999</v>
      </c>
      <c r="BV93" s="284">
        <f>LN(BT93)/BU93</f>
        <v>3.9670639760890931E-3</v>
      </c>
      <c r="BZ93" s="278">
        <v>100</v>
      </c>
      <c r="CA93" s="280">
        <f t="shared" si="86"/>
        <v>0.25</v>
      </c>
      <c r="CB93" s="279">
        <v>12.5</v>
      </c>
      <c r="CC93" s="279">
        <f t="shared" si="84"/>
        <v>24.5</v>
      </c>
      <c r="CD93" s="27">
        <f t="shared" si="85"/>
        <v>11.931471805599454</v>
      </c>
      <c r="CE93" s="27"/>
    </row>
    <row r="94" spans="33:139" x14ac:dyDescent="0.25">
      <c r="BT94">
        <v>0.83</v>
      </c>
      <c r="BU94">
        <v>23.1</v>
      </c>
      <c r="BV94" s="284">
        <f>LN(BT94)/BU94</f>
        <v>-8.0662155061252579E-3</v>
      </c>
      <c r="BY94" s="58"/>
      <c r="BZ94" s="278">
        <v>150</v>
      </c>
      <c r="CA94" s="280">
        <f t="shared" si="86"/>
        <v>0.375</v>
      </c>
      <c r="CB94" s="279">
        <v>10.526315789473685</v>
      </c>
      <c r="CC94" s="279">
        <f t="shared" si="84"/>
        <v>22.526315789473685</v>
      </c>
      <c r="CD94" s="27">
        <f t="shared" si="85"/>
        <v>9.9041462650586318</v>
      </c>
      <c r="CE94" s="27"/>
    </row>
    <row r="95" spans="33:139" ht="12.75" customHeight="1" x14ac:dyDescent="0.3">
      <c r="BW95" s="47"/>
      <c r="BY95" s="58"/>
      <c r="BZ95" s="278">
        <v>200</v>
      </c>
      <c r="CA95" s="280">
        <f t="shared" si="86"/>
        <v>0.5</v>
      </c>
      <c r="CB95" s="279">
        <v>9.0909090909090917</v>
      </c>
      <c r="CC95" s="279">
        <f t="shared" si="84"/>
        <v>21.090909090909093</v>
      </c>
      <c r="CD95" s="27">
        <f t="shared" si="85"/>
        <v>8.465735902799727</v>
      </c>
      <c r="CE95" s="27"/>
    </row>
    <row r="96" spans="33:139" x14ac:dyDescent="0.25">
      <c r="BY96" s="58"/>
      <c r="BZ96" s="278">
        <v>250</v>
      </c>
      <c r="CA96" s="280">
        <f t="shared" si="86"/>
        <v>0.625</v>
      </c>
      <c r="CB96" s="279">
        <v>7.6923076923076916</v>
      </c>
      <c r="CC96" s="279">
        <f t="shared" si="84"/>
        <v>19.692307692307693</v>
      </c>
      <c r="CD96" s="27">
        <f t="shared" si="85"/>
        <v>7.3500181462286776</v>
      </c>
      <c r="CE96" s="27"/>
    </row>
    <row r="97" spans="39:132" x14ac:dyDescent="0.25">
      <c r="BY97" s="58"/>
      <c r="BZ97" s="278">
        <v>300</v>
      </c>
      <c r="CA97" s="280">
        <f t="shared" si="86"/>
        <v>0.75</v>
      </c>
      <c r="CB97" s="279">
        <v>6.666666666666667</v>
      </c>
      <c r="CC97" s="279">
        <f t="shared" si="84"/>
        <v>18.666666666666668</v>
      </c>
      <c r="CD97" s="27">
        <f t="shared" si="85"/>
        <v>6.4384103622589048</v>
      </c>
      <c r="CE97" s="27"/>
    </row>
    <row r="98" spans="39:132" x14ac:dyDescent="0.25">
      <c r="BY98" s="21"/>
      <c r="BZ98" s="278">
        <v>350</v>
      </c>
      <c r="CA98" s="280">
        <f t="shared" si="86"/>
        <v>0.875</v>
      </c>
      <c r="CB98" s="279">
        <v>4.2105263157894735</v>
      </c>
      <c r="CC98" s="279">
        <f t="shared" si="84"/>
        <v>16.210526315789473</v>
      </c>
      <c r="CD98" s="27">
        <f t="shared" si="85"/>
        <v>5.6676569631226128</v>
      </c>
      <c r="CE98" s="27"/>
      <c r="CG98" s="365"/>
      <c r="CH98" s="365"/>
      <c r="CI98" s="365"/>
      <c r="CJ98" s="365"/>
      <c r="CK98" s="365"/>
    </row>
    <row r="99" spans="39:132" ht="12.75" customHeight="1" x14ac:dyDescent="0.25">
      <c r="BX99" s="15"/>
      <c r="BY99" s="21"/>
      <c r="BZ99" s="278">
        <v>400</v>
      </c>
      <c r="CA99" s="280">
        <f t="shared" si="86"/>
        <v>1</v>
      </c>
      <c r="CB99" s="279">
        <v>3.6363636363636367</v>
      </c>
      <c r="CC99" s="279">
        <f t="shared" si="84"/>
        <v>15.636363636363637</v>
      </c>
      <c r="CD99" s="27">
        <f t="shared" si="85"/>
        <v>5</v>
      </c>
      <c r="CE99" s="27"/>
      <c r="CG99" s="365"/>
      <c r="CH99" s="365"/>
      <c r="CI99" s="365"/>
      <c r="CJ99" s="365"/>
      <c r="CK99" s="365"/>
    </row>
    <row r="100" spans="39:132" s="54" customFormat="1" ht="12.75" customHeight="1" x14ac:dyDescent="0.25">
      <c r="AM100"/>
      <c r="AN100"/>
      <c r="AO100"/>
      <c r="AP100"/>
      <c r="AQ100"/>
      <c r="AR100"/>
      <c r="AS100"/>
      <c r="AT100"/>
      <c r="AU100"/>
      <c r="AV100"/>
      <c r="AW100"/>
      <c r="AX100"/>
      <c r="AY100"/>
      <c r="BB100" s="376"/>
      <c r="BK100"/>
      <c r="BL100"/>
      <c r="BW100" s="255"/>
      <c r="BX100" s="255"/>
      <c r="BY100" s="107"/>
      <c r="BZ100" s="278">
        <v>450</v>
      </c>
      <c r="CA100" s="280">
        <f t="shared" si="86"/>
        <v>1.125</v>
      </c>
      <c r="CB100" s="279">
        <v>3.0769230769230771</v>
      </c>
      <c r="CC100" s="279">
        <f t="shared" si="84"/>
        <v>15.076923076923077</v>
      </c>
      <c r="CD100" s="27">
        <f t="shared" si="85"/>
        <v>4.4110848217180827</v>
      </c>
      <c r="CE100" s="27"/>
      <c r="CF100" s="255"/>
      <c r="CG100" s="365"/>
      <c r="CH100" s="365"/>
      <c r="CI100" s="365"/>
      <c r="CJ100" s="365"/>
      <c r="CK100" s="365"/>
      <c r="DA100"/>
      <c r="DB100"/>
      <c r="DC100"/>
      <c r="DD100"/>
      <c r="DE100"/>
      <c r="DF100"/>
      <c r="DG100"/>
      <c r="DH100"/>
      <c r="DI100"/>
      <c r="DJ100"/>
      <c r="DK100"/>
      <c r="DO100" s="100"/>
      <c r="DP100" s="57"/>
      <c r="DQ100" s="100"/>
    </row>
    <row r="101" spans="39:132" x14ac:dyDescent="0.25">
      <c r="BL101" s="29"/>
      <c r="BY101" s="21"/>
      <c r="BZ101" s="278">
        <v>500</v>
      </c>
      <c r="CA101" s="280">
        <f t="shared" si="86"/>
        <v>1.25</v>
      </c>
      <c r="CB101" s="279">
        <v>2.8571428571428572</v>
      </c>
      <c r="CC101" s="279">
        <f t="shared" si="84"/>
        <v>14.857142857142858</v>
      </c>
      <c r="CD101" s="27">
        <f t="shared" si="85"/>
        <v>3.8842822434289515</v>
      </c>
      <c r="CE101" s="27"/>
      <c r="CG101" s="365"/>
      <c r="CH101" s="365"/>
      <c r="CI101" s="365"/>
      <c r="CJ101" s="365"/>
      <c r="CK101" s="365"/>
    </row>
    <row r="102" spans="39:132" x14ac:dyDescent="0.25">
      <c r="BL102" s="29"/>
      <c r="BY102" s="21"/>
      <c r="BZ102" s="278">
        <v>550</v>
      </c>
      <c r="CA102" s="280">
        <f t="shared" si="86"/>
        <v>1.375</v>
      </c>
      <c r="CB102" s="279">
        <v>1.8181818181818181</v>
      </c>
      <c r="CC102" s="279">
        <f t="shared" si="84"/>
        <v>13.818181818181818</v>
      </c>
      <c r="CD102" s="27">
        <f t="shared" si="85"/>
        <v>3.4077313444073272</v>
      </c>
      <c r="CE102" s="27"/>
      <c r="CG102" s="365"/>
      <c r="CH102" s="365"/>
      <c r="CI102" s="365"/>
      <c r="CJ102" s="365"/>
      <c r="CK102" s="365"/>
      <c r="DU102" s="21"/>
      <c r="DV102" s="21"/>
    </row>
    <row r="103" spans="39:132" ht="12.75" customHeight="1" x14ac:dyDescent="0.25">
      <c r="BL103" s="29"/>
      <c r="BY103" s="21"/>
      <c r="BZ103" s="278">
        <v>600</v>
      </c>
      <c r="CA103" s="280">
        <f t="shared" si="86"/>
        <v>1.5</v>
      </c>
      <c r="CB103" s="279">
        <v>1.6216216216216215</v>
      </c>
      <c r="CC103" s="279">
        <f t="shared" si="84"/>
        <v>13.621621621621621</v>
      </c>
      <c r="CD103" s="27">
        <f t="shared" si="85"/>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1">
        <f t="shared" si="86"/>
        <v>2</v>
      </c>
      <c r="CB104" s="52">
        <v>1.4</v>
      </c>
      <c r="CC104" s="74">
        <f t="shared" si="84"/>
        <v>13.4</v>
      </c>
      <c r="CD104" s="27">
        <f t="shared" si="85"/>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1">
        <f t="shared" si="86"/>
        <v>2.5</v>
      </c>
      <c r="CB105" s="52">
        <v>1</v>
      </c>
      <c r="CC105" s="74">
        <f t="shared" si="84"/>
        <v>13</v>
      </c>
      <c r="CD105" s="27">
        <f t="shared" si="85"/>
        <v>0.41854634062922447</v>
      </c>
      <c r="CE105" s="27"/>
      <c r="CG105" s="60"/>
      <c r="CH105" s="60"/>
      <c r="CI105" s="60"/>
      <c r="CJ105" s="60"/>
      <c r="CK105" s="60"/>
      <c r="CL105" s="60"/>
      <c r="CM105" s="60"/>
      <c r="CN105" s="60"/>
      <c r="CO105" s="60"/>
      <c r="CP105" s="60"/>
      <c r="CQ105" s="60"/>
      <c r="CR105" s="60"/>
      <c r="CS105" s="60"/>
      <c r="CT105" s="60"/>
      <c r="CU105" s="60"/>
      <c r="CV105" s="60"/>
      <c r="DW105" s="255"/>
      <c r="DX105" s="255"/>
      <c r="DY105" s="255"/>
      <c r="DZ105" s="255"/>
      <c r="EA105" s="255"/>
    </row>
    <row r="106" spans="39:132" x14ac:dyDescent="0.25">
      <c r="BL106" s="29"/>
      <c r="BY106" s="21">
        <v>0.5</v>
      </c>
      <c r="BZ106" s="52">
        <v>1200</v>
      </c>
      <c r="CA106" s="281">
        <f t="shared" si="86"/>
        <v>3</v>
      </c>
      <c r="CB106" s="52">
        <v>0.5</v>
      </c>
      <c r="CC106" s="74">
        <f t="shared" si="84"/>
        <v>12.5</v>
      </c>
      <c r="CD106" s="27">
        <f t="shared" si="85"/>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1"/>
      <c r="DQ114" s="17"/>
    </row>
    <row r="115" spans="64:121" x14ac:dyDescent="0.25">
      <c r="BY115" s="58"/>
      <c r="CB115" s="101"/>
      <c r="CC115" s="27"/>
      <c r="CD115" s="108"/>
      <c r="CE115" s="108"/>
      <c r="CF115" s="109"/>
      <c r="DO115" s="17"/>
      <c r="DP115" s="391"/>
      <c r="DQ115" s="17"/>
    </row>
    <row r="116" spans="64:121" x14ac:dyDescent="0.25">
      <c r="BL116" s="29"/>
      <c r="BY116" s="58"/>
      <c r="CB116" s="101"/>
      <c r="CC116" s="27"/>
      <c r="CD116" s="108"/>
      <c r="CE116" s="108"/>
      <c r="CF116" s="109"/>
      <c r="DO116" s="17"/>
      <c r="DP116" s="391"/>
      <c r="DQ116" s="17"/>
    </row>
    <row r="117" spans="64:121" x14ac:dyDescent="0.25">
      <c r="BL117" s="29"/>
      <c r="BY117" s="58"/>
      <c r="DO117" s="17"/>
      <c r="DP117" s="391"/>
      <c r="DQ117" s="17"/>
    </row>
    <row r="118" spans="64:121" x14ac:dyDescent="0.25">
      <c r="BL118" s="29"/>
      <c r="BY118" s="58"/>
      <c r="DO118" s="17"/>
      <c r="DP118" s="391"/>
      <c r="DQ118" s="17"/>
    </row>
    <row r="119" spans="64:121" x14ac:dyDescent="0.25">
      <c r="DO119" s="17"/>
      <c r="DP119" s="391"/>
      <c r="DQ119" s="17"/>
    </row>
    <row r="120" spans="64:121" x14ac:dyDescent="0.25">
      <c r="DO120" s="17"/>
      <c r="DP120" s="391"/>
      <c r="DQ120" s="17"/>
    </row>
    <row r="121" spans="64:121" x14ac:dyDescent="0.25">
      <c r="DA121" s="255"/>
      <c r="DO121" s="17"/>
      <c r="DP121" s="391"/>
      <c r="DQ121" s="17"/>
    </row>
    <row r="122" spans="64:121" x14ac:dyDescent="0.25">
      <c r="DA122" s="255"/>
      <c r="DO122" s="17"/>
      <c r="DP122" s="391"/>
      <c r="DQ122" s="17"/>
    </row>
    <row r="123" spans="64:121" x14ac:dyDescent="0.25">
      <c r="DA123" s="255"/>
      <c r="DO123" s="17"/>
      <c r="DP123" s="391"/>
      <c r="DQ123" s="17"/>
    </row>
    <row r="124" spans="64:121" x14ac:dyDescent="0.25">
      <c r="DA124" s="255"/>
      <c r="DO124" s="17"/>
      <c r="DP124" s="391"/>
      <c r="DQ124" s="17"/>
    </row>
    <row r="125" spans="64:121" x14ac:dyDescent="0.25">
      <c r="DA125" s="255"/>
      <c r="DO125" s="17"/>
      <c r="DP125" s="391"/>
      <c r="DQ125" s="17"/>
    </row>
    <row r="126" spans="64:121" x14ac:dyDescent="0.25">
      <c r="BV126" s="54"/>
      <c r="BY126"/>
      <c r="DA126" s="255"/>
      <c r="DO126" s="17"/>
      <c r="DP126" s="391"/>
      <c r="DQ126" s="17"/>
    </row>
    <row r="127" spans="64:121" x14ac:dyDescent="0.25">
      <c r="BS127" s="20"/>
      <c r="BT127" s="20"/>
      <c r="BU127" s="20"/>
      <c r="BV127" s="20"/>
      <c r="BY127"/>
      <c r="DA127" s="255"/>
      <c r="DO127" s="17"/>
      <c r="DP127" s="391"/>
      <c r="DQ127" s="17"/>
    </row>
    <row r="128" spans="64:121" x14ac:dyDescent="0.25">
      <c r="BV128" s="30"/>
      <c r="BY128"/>
      <c r="DA128" s="255"/>
      <c r="DO128" s="17"/>
      <c r="DP128" s="391"/>
      <c r="DQ128" s="17"/>
    </row>
    <row r="129" spans="74:121" x14ac:dyDescent="0.25">
      <c r="BV129" s="30"/>
      <c r="BY129"/>
      <c r="DA129" s="255"/>
      <c r="DO129" s="17"/>
      <c r="DP129" s="391"/>
      <c r="DQ129" s="17"/>
    </row>
    <row r="130" spans="74:121" x14ac:dyDescent="0.25">
      <c r="BV130" s="30"/>
      <c r="BY130"/>
      <c r="DA130" s="255"/>
      <c r="DO130" s="17"/>
      <c r="DP130" s="391"/>
      <c r="DQ130" s="17"/>
    </row>
    <row r="131" spans="74:121" x14ac:dyDescent="0.25">
      <c r="BV131" s="30"/>
      <c r="BY131"/>
      <c r="DA131" s="255"/>
      <c r="DO131" s="17"/>
      <c r="DP131" s="391"/>
      <c r="DQ131" s="17"/>
    </row>
    <row r="132" spans="74:121" x14ac:dyDescent="0.25">
      <c r="BV132" s="30"/>
      <c r="BY132"/>
      <c r="DA132" s="255"/>
      <c r="DO132" s="17"/>
      <c r="DP132" s="391"/>
      <c r="DQ132" s="17"/>
    </row>
    <row r="133" spans="74:121" x14ac:dyDescent="0.25">
      <c r="BV133" s="30"/>
      <c r="BY133"/>
      <c r="DA133" s="255"/>
      <c r="DO133" s="17"/>
      <c r="DP133" s="391"/>
      <c r="DQ133" s="17"/>
    </row>
    <row r="134" spans="74:121" x14ac:dyDescent="0.25">
      <c r="BV134" s="30"/>
      <c r="BY134"/>
      <c r="DA134" s="255"/>
      <c r="DO134" s="17"/>
      <c r="DP134" s="391"/>
      <c r="DQ134" s="17"/>
    </row>
    <row r="135" spans="74:121" x14ac:dyDescent="0.25">
      <c r="BV135" s="30"/>
      <c r="BY135"/>
      <c r="DA135" s="255"/>
      <c r="DO135" s="17"/>
      <c r="DP135" s="391"/>
      <c r="DQ135" s="17"/>
    </row>
    <row r="136" spans="74:121" x14ac:dyDescent="0.25">
      <c r="BV136" s="30"/>
      <c r="BY136"/>
      <c r="DA136" s="255"/>
      <c r="DO136" s="17"/>
      <c r="DP136" s="391"/>
      <c r="DQ136" s="17"/>
    </row>
    <row r="137" spans="74:121" x14ac:dyDescent="0.25">
      <c r="BV137" s="30"/>
      <c r="BY137"/>
      <c r="DA137" s="255"/>
      <c r="DO137" s="17"/>
      <c r="DP137" s="391"/>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5" customFormat="1" x14ac:dyDescent="0.25">
      <c r="BB146" s="376"/>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5" customFormat="1" x14ac:dyDescent="0.25">
      <c r="BB147" s="376"/>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5">
      <c r="BB148" s="376"/>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5">
      <c r="BB149" s="376"/>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5">
      <c r="BB150" s="376"/>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5">
      <c r="BB151" s="376"/>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5">
      <c r="BB152" s="376"/>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selectLockedCells="1"/>
  <customSheetViews>
    <customSheetView guid="{C5ECCA7E-81F6-46F5-BEA0-A5F2DAD22AC9}" scale="90" topLeftCell="A9">
      <selection activeCell="AU38" sqref="AU38"/>
      <colBreaks count="1" manualBreakCount="1">
        <brk id="66" max="1048575" man="1"/>
      </colBreaks>
      <pageMargins left="0.7" right="0.7" top="0.75" bottom="0" header="0.3" footer="0.3"/>
      <pageSetup scale="34" orientation="portrait" r:id="rId1"/>
    </customSheetView>
    <customSheetView guid="{40D14490-07BB-46F3-8435-9C462BE853EE}" scale="90">
      <selection activeCell="D21" sqref="D21:AA21"/>
      <colBreaks count="1" manualBreakCount="1">
        <brk id="66" max="1048575" man="1"/>
      </colBreaks>
      <pageMargins left="0.7" right="0.7" top="0.75" bottom="0" header="0.3" footer="0.3"/>
      <pageSetup scale="34" orientation="portrait" r:id="rId2"/>
    </customSheetView>
  </customSheetViews>
  <mergeCells count="86">
    <mergeCell ref="DX29:DX34"/>
    <mergeCell ref="DY29:DY34"/>
    <mergeCell ref="DZ29:DZ34"/>
    <mergeCell ref="EA29:EA34"/>
    <mergeCell ref="C51:J51"/>
    <mergeCell ref="C50:H50"/>
    <mergeCell ref="B33:M33"/>
    <mergeCell ref="C49:H49"/>
    <mergeCell ref="B41:M41"/>
    <mergeCell ref="B43:M43"/>
    <mergeCell ref="B42:M42"/>
    <mergeCell ref="B45:H45"/>
    <mergeCell ref="C46:H46"/>
    <mergeCell ref="C47:H47"/>
    <mergeCell ref="C48:H48"/>
    <mergeCell ref="AE1:AX1"/>
    <mergeCell ref="B39:M40"/>
    <mergeCell ref="B37:M38"/>
    <mergeCell ref="B31:M32"/>
    <mergeCell ref="AG24:AV24"/>
    <mergeCell ref="AW24:AX24"/>
    <mergeCell ref="AG25:AV25"/>
    <mergeCell ref="AW25:AX25"/>
    <mergeCell ref="AE2:AI2"/>
    <mergeCell ref="AB20:AC20"/>
    <mergeCell ref="B20:C20"/>
    <mergeCell ref="D21:AA21"/>
    <mergeCell ref="B36:M36"/>
    <mergeCell ref="AB21:AC24"/>
    <mergeCell ref="B30:M30"/>
    <mergeCell ref="B34:M34"/>
    <mergeCell ref="BX58:BX68"/>
    <mergeCell ref="BN62:BN64"/>
    <mergeCell ref="BA69:BA78"/>
    <mergeCell ref="BW74:CB78"/>
    <mergeCell ref="BG23:BG24"/>
    <mergeCell ref="BH23:BL24"/>
    <mergeCell ref="BG25:BG26"/>
    <mergeCell ref="BH25:BL26"/>
    <mergeCell ref="BA40:BJ42"/>
    <mergeCell ref="BA45:BB45"/>
    <mergeCell ref="BD44:BE44"/>
    <mergeCell ref="BB48:BC48"/>
    <mergeCell ref="BA86:BA91"/>
    <mergeCell ref="AG55:AH55"/>
    <mergeCell ref="BN29:BN30"/>
    <mergeCell ref="BG31:BM31"/>
    <mergeCell ref="BN31:BN32"/>
    <mergeCell ref="AG35:AY35"/>
    <mergeCell ref="AG38:AH38"/>
    <mergeCell ref="AZ40:AZ41"/>
    <mergeCell ref="AW41:AX41"/>
    <mergeCell ref="AS42:AS43"/>
    <mergeCell ref="AX40:AY40"/>
    <mergeCell ref="AT42:AX43"/>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DU1:DW2"/>
    <mergeCell ref="EB1:EG1"/>
    <mergeCell ref="EI1:EK1"/>
    <mergeCell ref="DX2:DY2"/>
    <mergeCell ref="EB2:ED2"/>
    <mergeCell ref="BO1:BS1"/>
    <mergeCell ref="BT1:CC1"/>
    <mergeCell ref="DB1:DC1"/>
    <mergeCell ref="BG3:BL3"/>
    <mergeCell ref="BM3:BN3"/>
    <mergeCell ref="BH15:BL16"/>
    <mergeCell ref="BG17:BG18"/>
    <mergeCell ref="BH17:BL18"/>
    <mergeCell ref="BG19:BG20"/>
    <mergeCell ref="BH19:BL20"/>
  </mergeCells>
  <pageMargins left="0.7" right="0.7" top="0.75" bottom="0" header="0.3" footer="0.3"/>
  <pageSetup scale="34" orientation="portrait" r:id="rId3"/>
  <colBreaks count="1" manualBreakCount="1">
    <brk id="66" max="1048575" man="1"/>
  </col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H83" sqref="H83"/>
    </sheetView>
  </sheetViews>
  <sheetFormatPr defaultRowHeight="12.5" x14ac:dyDescent="0.25"/>
  <sheetData>
    <row r="30" spans="2:6" x14ac:dyDescent="0.25">
      <c r="B30" t="s">
        <v>339</v>
      </c>
    </row>
    <row r="31" spans="2:6" x14ac:dyDescent="0.25">
      <c r="B31" s="610" t="s">
        <v>340</v>
      </c>
      <c r="C31" s="610"/>
      <c r="D31" s="610"/>
      <c r="E31" s="610"/>
      <c r="F31" s="610"/>
    </row>
    <row r="32" spans="2:6" x14ac:dyDescent="0.25">
      <c r="B32" s="610"/>
      <c r="C32" s="610"/>
      <c r="D32" s="610"/>
      <c r="E32" s="610"/>
      <c r="F32" s="610"/>
    </row>
    <row r="33" spans="2:6" x14ac:dyDescent="0.25">
      <c r="B33" s="610"/>
      <c r="C33" s="610"/>
      <c r="D33" s="610"/>
      <c r="E33" s="610"/>
      <c r="F33" s="610"/>
    </row>
    <row r="34" spans="2:6" x14ac:dyDescent="0.25">
      <c r="B34" s="610"/>
      <c r="C34" s="610"/>
      <c r="D34" s="610"/>
      <c r="E34" s="610"/>
      <c r="F34" s="610"/>
    </row>
    <row r="35" spans="2:6" x14ac:dyDescent="0.25">
      <c r="B35" s="610"/>
      <c r="C35" s="610"/>
      <c r="D35" s="610"/>
      <c r="E35" s="610"/>
      <c r="F35" s="610"/>
    </row>
    <row r="50" spans="2:2" ht="13" x14ac:dyDescent="0.3">
      <c r="B50" s="6"/>
    </row>
    <row r="66" spans="10:10" x14ac:dyDescent="0.25">
      <c r="J66" t="s">
        <v>341</v>
      </c>
    </row>
  </sheetData>
  <sheetProtection password="CF27" sheet="1" objects="1" scenarios="1"/>
  <customSheetViews>
    <customSheetView guid="{C5ECCA7E-81F6-46F5-BEA0-A5F2DAD22AC9}">
      <selection activeCell="H83" sqref="H83"/>
      <pageMargins left="0.7" right="0.7" top="0.75" bottom="0.75" header="0.3" footer="0.3"/>
      <pageSetup orientation="portrait" horizontalDpi="0" verticalDpi="0" r:id="rId1"/>
    </customSheetView>
    <customSheetView guid="{40D14490-07BB-46F3-8435-9C462BE853EE}">
      <selection activeCell="H83" sqref="H83"/>
      <pageMargins left="0.7" right="0.7" top="0.75" bottom="0.75" header="0.3" footer="0.3"/>
      <pageSetup orientation="portrait" horizontalDpi="0" verticalDpi="0" r:id="rId2"/>
    </customSheetView>
  </customSheetViews>
  <mergeCells count="1">
    <mergeCell ref="B31:F35"/>
  </mergeCells>
  <pageMargins left="0.7" right="0.7" top="0.75" bottom="0.75" header="0.3" footer="0.3"/>
  <pageSetup orientation="portrait" horizontalDpi="0" verticalDpi="0"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C1" zoomScale="90" zoomScaleNormal="90" workbookViewId="0">
      <selection activeCell="AD22" sqref="AD22"/>
    </sheetView>
  </sheetViews>
  <sheetFormatPr defaultRowHeight="18" x14ac:dyDescent="0.4"/>
  <cols>
    <col min="1" max="1" width="2.6328125" customWidth="1"/>
    <col min="2" max="2" width="15.6328125" bestFit="1" customWidth="1"/>
    <col min="3" max="29" width="5.1796875" customWidth="1"/>
    <col min="30" max="30" width="10.90625" bestFit="1" customWidth="1"/>
    <col min="31" max="31" width="6.81640625" customWidth="1"/>
    <col min="32"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9.1796875" style="470" customWidth="1"/>
    <col min="52" max="52" width="11.6328125" style="462" customWidth="1"/>
    <col min="53" max="53" width="7.81640625" customWidth="1"/>
    <col min="54" max="54" width="8.54296875" customWidth="1"/>
    <col min="55" max="55" width="8.54296875" style="457" customWidth="1"/>
    <col min="56" max="56" width="8.54296875" customWidth="1"/>
    <col min="57" max="57" width="8.81640625" customWidth="1"/>
    <col min="58" max="58" width="12.54296875" customWidth="1"/>
    <col min="59" max="63" width="12.81640625" customWidth="1"/>
    <col min="64" max="65" width="10.54296875" customWidth="1"/>
    <col min="67" max="67" width="10.81640625" customWidth="1"/>
    <col min="69" max="69" width="8.54296875" customWidth="1"/>
    <col min="70" max="70" width="10.81640625" customWidth="1"/>
    <col min="72" max="72" width="10.81640625" customWidth="1"/>
    <col min="75" max="75" width="10.81640625" customWidth="1"/>
    <col min="76" max="76" width="8.81640625" style="255" customWidth="1"/>
    <col min="77" max="84" width="10.81640625" style="255" customWidth="1"/>
    <col min="85" max="85" width="11.81640625" style="255" customWidth="1"/>
    <col min="86" max="90" width="10.81640625" style="255" customWidth="1"/>
    <col min="91" max="101" width="10.81640625" customWidth="1"/>
    <col min="102" max="102" width="10.54296875" customWidth="1"/>
    <col min="103" max="103" width="9.81640625" customWidth="1"/>
    <col min="106" max="106" width="15" customWidth="1"/>
    <col min="107" max="107" width="11.54296875" bestFit="1" customWidth="1"/>
    <col min="108" max="109" width="10.81640625" customWidth="1"/>
    <col min="110" max="116" width="12.81640625" customWidth="1"/>
    <col min="117" max="117" width="15" customWidth="1"/>
    <col min="118" max="118" width="11.453125" customWidth="1"/>
    <col min="119" max="119" width="9.81640625" customWidth="1"/>
    <col min="120" max="120" width="12.81640625" style="18" customWidth="1"/>
    <col min="121" max="121" width="12.81640625" style="57" customWidth="1"/>
    <col min="122" max="122" width="12.81640625" style="18" customWidth="1"/>
    <col min="123" max="123" width="15" customWidth="1"/>
    <col min="124" max="124" width="11.81640625" customWidth="1"/>
    <col min="125" max="127" width="10.81640625" customWidth="1"/>
    <col min="128" max="129" width="9.81640625" customWidth="1"/>
    <col min="130" max="131" width="10.81640625" customWidth="1"/>
    <col min="132" max="133" width="9.81640625" customWidth="1"/>
    <col min="134" max="134" width="10.81640625" customWidth="1"/>
    <col min="135" max="137" width="9.81640625" customWidth="1"/>
    <col min="138" max="138" width="12.81640625" customWidth="1"/>
    <col min="139" max="140" width="9.81640625" customWidth="1"/>
    <col min="141" max="143" width="10.81640625" customWidth="1"/>
  </cols>
  <sheetData>
    <row r="1" spans="1:176" x14ac:dyDescent="0.4">
      <c r="AE1" s="564" t="s">
        <v>354</v>
      </c>
      <c r="AF1" s="564"/>
      <c r="AG1" s="564"/>
      <c r="AH1" s="564"/>
      <c r="AI1" s="564"/>
      <c r="AJ1" s="564"/>
      <c r="AK1" s="564"/>
      <c r="AL1" s="564"/>
      <c r="AM1" s="564"/>
      <c r="AN1" s="564"/>
      <c r="AO1" s="564"/>
      <c r="AP1" s="564"/>
      <c r="AQ1" s="564"/>
      <c r="AR1" s="564"/>
      <c r="AS1" s="564"/>
      <c r="AT1" s="564"/>
      <c r="AU1" s="564"/>
      <c r="AV1" s="564"/>
      <c r="AW1" s="564"/>
      <c r="AX1" s="564"/>
      <c r="BP1" s="500" t="s">
        <v>108</v>
      </c>
      <c r="BQ1" s="500"/>
      <c r="BR1" s="500"/>
      <c r="BS1" s="500"/>
      <c r="BT1" s="500"/>
      <c r="BU1" s="501" t="s">
        <v>109</v>
      </c>
      <c r="BV1" s="501"/>
      <c r="BW1" s="501"/>
      <c r="BX1" s="501"/>
      <c r="BY1" s="501"/>
      <c r="BZ1" s="501"/>
      <c r="CA1" s="501"/>
      <c r="CB1" s="501"/>
      <c r="CC1" s="501"/>
      <c r="CD1" s="501"/>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02" t="s">
        <v>221</v>
      </c>
      <c r="DD1" s="502"/>
      <c r="DE1" s="478" t="s">
        <v>150</v>
      </c>
      <c r="DF1" s="139" t="s">
        <v>149</v>
      </c>
      <c r="DG1" s="57"/>
      <c r="DH1" s="57"/>
      <c r="DK1" s="453" t="s">
        <v>151</v>
      </c>
      <c r="DL1" s="453" t="s">
        <v>151</v>
      </c>
      <c r="DM1" s="246" t="s">
        <v>150</v>
      </c>
      <c r="DN1" s="453" t="s">
        <v>151</v>
      </c>
      <c r="DO1" s="44"/>
      <c r="DP1" s="57"/>
      <c r="DR1" s="453" t="s">
        <v>151</v>
      </c>
      <c r="DS1" s="139" t="s">
        <v>149</v>
      </c>
      <c r="DT1" s="139"/>
      <c r="DV1" s="505" t="s">
        <v>287</v>
      </c>
      <c r="DW1" s="505"/>
      <c r="DX1" s="505"/>
      <c r="EC1" s="506" t="s">
        <v>216</v>
      </c>
      <c r="ED1" s="506"/>
      <c r="EE1" s="506"/>
      <c r="EF1" s="506"/>
      <c r="EG1" s="506"/>
      <c r="EH1" s="506"/>
      <c r="EJ1" s="507" t="s">
        <v>179</v>
      </c>
      <c r="EK1" s="507"/>
      <c r="EL1" s="507"/>
    </row>
    <row r="2" spans="1:176" s="150" customFormat="1" ht="12.75" customHeight="1" x14ac:dyDescent="0.4">
      <c r="J2" s="150">
        <v>100</v>
      </c>
      <c r="K2" s="150">
        <v>50</v>
      </c>
      <c r="Q2" s="150">
        <v>85</v>
      </c>
      <c r="R2" s="150" t="s">
        <v>360</v>
      </c>
      <c r="AE2" s="573"/>
      <c r="AF2" s="573"/>
      <c r="AG2" s="573"/>
      <c r="AH2" s="573"/>
      <c r="AI2" s="573"/>
      <c r="AJ2" s="273"/>
      <c r="AK2" s="273"/>
      <c r="AL2" s="273"/>
      <c r="AM2" s="273"/>
      <c r="AN2" s="273"/>
      <c r="AO2" s="273"/>
      <c r="AP2" s="273"/>
      <c r="AQ2" s="273"/>
      <c r="AR2" s="273"/>
      <c r="AS2" s="273"/>
      <c r="AT2" s="273"/>
      <c r="AU2" s="273"/>
      <c r="AV2" s="273"/>
      <c r="AW2" s="273"/>
      <c r="AX2" s="273"/>
      <c r="AY2" s="471"/>
      <c r="BC2" s="455"/>
      <c r="BF2" s="455" t="s">
        <v>208</v>
      </c>
      <c r="BN2" s="269"/>
      <c r="BP2" s="270" t="s">
        <v>228</v>
      </c>
      <c r="BQ2" s="172"/>
      <c r="BR2" s="274" t="s">
        <v>208</v>
      </c>
      <c r="BS2" s="172"/>
      <c r="BT2" s="455" t="s">
        <v>208</v>
      </c>
      <c r="BU2" s="455"/>
      <c r="BV2" s="455"/>
      <c r="BW2" s="455" t="s">
        <v>208</v>
      </c>
      <c r="BX2" s="455"/>
      <c r="BY2" s="455" t="s">
        <v>208</v>
      </c>
      <c r="BZ2" s="455" t="s">
        <v>208</v>
      </c>
      <c r="CA2" s="274"/>
      <c r="CB2" s="455"/>
      <c r="CC2" s="455"/>
      <c r="CD2" s="455" t="s">
        <v>208</v>
      </c>
      <c r="CE2" s="172"/>
      <c r="CF2" s="274" t="s">
        <v>208</v>
      </c>
      <c r="CG2" s="455"/>
      <c r="CH2" s="455"/>
      <c r="CI2" s="455"/>
      <c r="CJ2" s="455"/>
      <c r="CK2" s="455" t="s">
        <v>326</v>
      </c>
      <c r="CL2" s="150" t="s">
        <v>326</v>
      </c>
      <c r="CM2" s="455" t="s">
        <v>208</v>
      </c>
      <c r="CN2" s="274" t="s">
        <v>208</v>
      </c>
      <c r="CO2" s="455"/>
      <c r="CP2" s="455"/>
      <c r="CQ2" s="455"/>
      <c r="CR2" s="455"/>
      <c r="CS2" s="455"/>
      <c r="CT2" s="455"/>
      <c r="CU2" s="455" t="s">
        <v>326</v>
      </c>
      <c r="CV2" s="150" t="s">
        <v>326</v>
      </c>
      <c r="CW2" s="455"/>
      <c r="CX2" s="455"/>
      <c r="CY2" s="274" t="s">
        <v>208</v>
      </c>
      <c r="CZ2" s="455"/>
      <c r="DA2" s="455"/>
      <c r="DB2" s="455" t="s">
        <v>208</v>
      </c>
      <c r="DC2" s="455" t="s">
        <v>208</v>
      </c>
      <c r="DD2" s="293" t="s">
        <v>208</v>
      </c>
      <c r="DE2" s="463" t="s">
        <v>208</v>
      </c>
      <c r="DF2" s="455"/>
      <c r="DG2" s="267" t="s">
        <v>208</v>
      </c>
      <c r="DH2" s="268" t="s">
        <v>208</v>
      </c>
      <c r="DL2" s="455" t="s">
        <v>208</v>
      </c>
      <c r="DM2" s="292" t="s">
        <v>208</v>
      </c>
      <c r="DN2" s="260" t="s">
        <v>208</v>
      </c>
      <c r="DO2" s="455"/>
      <c r="DP2" s="455"/>
      <c r="DQ2" s="455"/>
      <c r="DR2" s="455" t="s">
        <v>208</v>
      </c>
      <c r="DS2" s="455"/>
      <c r="DT2" s="455"/>
      <c r="DU2" s="455"/>
      <c r="DV2" s="505"/>
      <c r="DW2" s="505"/>
      <c r="DX2" s="505"/>
      <c r="DY2" s="508" t="s">
        <v>208</v>
      </c>
      <c r="DZ2" s="508"/>
      <c r="EA2" s="454"/>
      <c r="EB2" s="454"/>
      <c r="EC2" s="509" t="s">
        <v>208</v>
      </c>
      <c r="ED2" s="510"/>
      <c r="EE2" s="510"/>
      <c r="EF2" s="455"/>
      <c r="EG2" s="455" t="s">
        <v>208</v>
      </c>
      <c r="EH2" s="455" t="s">
        <v>208</v>
      </c>
      <c r="EI2" s="455"/>
      <c r="EJ2" s="258"/>
      <c r="EK2" s="258" t="s">
        <v>208</v>
      </c>
      <c r="EL2" s="455" t="s">
        <v>208</v>
      </c>
    </row>
    <row r="3" spans="1:176" ht="89.25" customHeight="1" x14ac:dyDescent="0.4">
      <c r="A3" s="399"/>
      <c r="AD3" s="477" t="s">
        <v>372</v>
      </c>
      <c r="AE3" s="484" t="str">
        <f>BA3</f>
        <v>Start Date of Period</v>
      </c>
      <c r="AF3" s="396"/>
      <c r="AL3" s="253"/>
      <c r="AM3" s="253"/>
      <c r="AN3" s="253"/>
      <c r="AT3" s="253"/>
      <c r="AU3" s="253"/>
      <c r="AV3" s="253"/>
      <c r="AW3" s="253"/>
      <c r="BA3" s="458" t="s">
        <v>134</v>
      </c>
      <c r="BB3" s="1" t="s">
        <v>154</v>
      </c>
      <c r="BC3" s="458" t="s">
        <v>295</v>
      </c>
      <c r="BD3" s="232" t="s">
        <v>191</v>
      </c>
      <c r="BE3" s="122" t="str">
        <f>DX3</f>
        <v>Alcohol wash of 1/2 cup of young bees</v>
      </c>
      <c r="BF3" s="158" t="s">
        <v>142</v>
      </c>
      <c r="BG3" s="458" t="s">
        <v>140</v>
      </c>
      <c r="BH3" s="503" t="s">
        <v>152</v>
      </c>
      <c r="BI3" s="503"/>
      <c r="BJ3" s="503"/>
      <c r="BK3" s="503"/>
      <c r="BL3" s="503"/>
      <c r="BM3" s="503"/>
      <c r="BP3" s="448" t="s">
        <v>0</v>
      </c>
      <c r="BQ3" s="63" t="s">
        <v>92</v>
      </c>
      <c r="BR3" s="24" t="s">
        <v>7</v>
      </c>
      <c r="BS3" s="459" t="s">
        <v>93</v>
      </c>
      <c r="BT3" s="25" t="s">
        <v>9</v>
      </c>
      <c r="BU3" s="452" t="s">
        <v>8</v>
      </c>
      <c r="BV3" s="452" t="s">
        <v>91</v>
      </c>
      <c r="BW3" s="452" t="s">
        <v>145</v>
      </c>
      <c r="BX3" s="452" t="s">
        <v>10</v>
      </c>
      <c r="BY3" s="142" t="s">
        <v>143</v>
      </c>
      <c r="BZ3" s="140" t="s">
        <v>98</v>
      </c>
      <c r="CA3" s="452" t="s">
        <v>95</v>
      </c>
      <c r="CB3" s="129" t="s">
        <v>94</v>
      </c>
      <c r="CC3" s="452"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5" t="s">
        <v>122</v>
      </c>
      <c r="CR3" s="70" t="s">
        <v>96</v>
      </c>
      <c r="CS3" s="445" t="s">
        <v>101</v>
      </c>
      <c r="CT3" s="445" t="s">
        <v>116</v>
      </c>
      <c r="CU3" s="446" t="s">
        <v>137</v>
      </c>
      <c r="CV3" s="446" t="s">
        <v>138</v>
      </c>
      <c r="CW3" s="445" t="s">
        <v>102</v>
      </c>
      <c r="CX3" s="445" t="s">
        <v>104</v>
      </c>
      <c r="CY3" s="445" t="s">
        <v>135</v>
      </c>
      <c r="CZ3" s="445" t="s">
        <v>120</v>
      </c>
      <c r="DA3" s="445" t="s">
        <v>121</v>
      </c>
      <c r="DB3" s="447" t="s">
        <v>213</v>
      </c>
      <c r="DC3" s="132" t="s">
        <v>220</v>
      </c>
      <c r="DD3" s="132" t="s">
        <v>212</v>
      </c>
      <c r="DE3" s="479"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2" t="s">
        <v>294</v>
      </c>
      <c r="DU3" s="448" t="s">
        <v>0</v>
      </c>
      <c r="DV3" s="452" t="s">
        <v>11</v>
      </c>
      <c r="DW3" s="26" t="s">
        <v>12</v>
      </c>
      <c r="DX3" s="62" t="s">
        <v>114</v>
      </c>
      <c r="DY3" s="350" t="s">
        <v>302</v>
      </c>
      <c r="DZ3" s="350" t="s">
        <v>303</v>
      </c>
      <c r="EA3" s="350" t="s">
        <v>350</v>
      </c>
      <c r="EB3" s="350" t="s">
        <v>296</v>
      </c>
      <c r="EC3" s="452" t="s">
        <v>125</v>
      </c>
      <c r="ED3" s="452" t="s">
        <v>126</v>
      </c>
      <c r="EE3" s="26" t="s">
        <v>205</v>
      </c>
      <c r="EF3" s="26" t="s">
        <v>325</v>
      </c>
      <c r="EG3" s="26" t="s">
        <v>155</v>
      </c>
      <c r="EH3" s="261" t="s">
        <v>206</v>
      </c>
      <c r="EJ3" s="452" t="s">
        <v>176</v>
      </c>
      <c r="EK3" s="167" t="s">
        <v>177</v>
      </c>
      <c r="EL3" s="452" t="s">
        <v>178</v>
      </c>
      <c r="EP3" s="511" t="s">
        <v>217</v>
      </c>
      <c r="EQ3" s="511"/>
      <c r="ES3" s="248" t="s">
        <v>159</v>
      </c>
      <c r="ET3" s="452" t="s">
        <v>89</v>
      </c>
      <c r="EV3" s="300"/>
    </row>
    <row r="4" spans="1:176" x14ac:dyDescent="0.4">
      <c r="A4" s="54"/>
      <c r="B4" s="403"/>
      <c r="AD4" s="480"/>
      <c r="AE4" s="484">
        <f>BA4</f>
        <v>40544</v>
      </c>
      <c r="BA4" s="405">
        <f>IF($AB$20="x", EQ4,EP4)</f>
        <v>40544</v>
      </c>
      <c r="BB4" s="59">
        <f t="shared" ref="BB4:BB27" si="0">IF(EB4&gt;0,"",DF4)</f>
        <v>100</v>
      </c>
      <c r="BC4" s="301">
        <f>IF(EB4&gt;0,"",DT4)</f>
        <v>-5.0125418235442759E-3</v>
      </c>
      <c r="BD4" s="233">
        <f t="shared" ref="BD4:BD28" si="1">IF(EB4&gt;0,"",DM4)</f>
        <v>0</v>
      </c>
      <c r="BE4" s="123">
        <f>IF(EB4&gt;0,"",DX4)</f>
        <v>1.3641486179387587</v>
      </c>
      <c r="BF4" s="4">
        <f t="shared" ref="BF4:BF28" si="2">IF(EB4&gt;0,"",IF(BT4&lt;5,"n/a",CU4))</f>
        <v>0.23242001350979635</v>
      </c>
      <c r="BG4" s="3">
        <f t="shared" ref="BG4:BG28" si="3">IF(EB4&gt;0,"",CA4)</f>
        <v>0.69290088530222671</v>
      </c>
      <c r="BH4" s="126"/>
      <c r="BI4" s="512"/>
      <c r="BJ4" s="512"/>
      <c r="BK4" s="512"/>
      <c r="BL4" s="126"/>
      <c r="BM4" s="126"/>
      <c r="BN4" s="126"/>
      <c r="BP4" s="271">
        <f>BA4</f>
        <v>40544</v>
      </c>
      <c r="BQ4" s="456">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4.2999999999999997E-2</v>
      </c>
      <c r="BT4" s="17">
        <f t="shared" ref="BT4:BT27" si="5">IF(BS4=0,1,$BQ$43*BS4)</f>
        <v>193.49999999999997</v>
      </c>
      <c r="BU4" s="21">
        <f t="shared" ref="BU4:BU27" si="6">IF(BR4=0,0,BT4/BR4)</f>
        <v>1.2093749999999999E-2</v>
      </c>
      <c r="BV4">
        <f>BT4*12/20</f>
        <v>116.09999999999998</v>
      </c>
      <c r="BW4" s="18">
        <f>CU4*BV4</f>
        <v>26.983963568487351</v>
      </c>
      <c r="BX4" s="18">
        <f t="shared" ref="BX4:BX27" si="7">BT4/20</f>
        <v>9.6749999999999989</v>
      </c>
      <c r="BY4" s="141">
        <f>IF(BU4=0,0.001,(-$BQ$42*LN(BU4))+$BQ$41)</f>
        <v>27.075332443760409</v>
      </c>
      <c r="BZ4" s="27">
        <f t="shared" ref="BZ4:BZ27" si="8">BY4+12</f>
        <v>39.075332443760409</v>
      </c>
      <c r="CA4" s="32">
        <f t="shared" ref="CA4:CA27" si="9">IF(BS4=0,1,BY4/BZ4)</f>
        <v>0.69290088530222671</v>
      </c>
      <c r="CB4" s="130">
        <f t="shared" ref="CB4:CB27" si="10">1-CA4</f>
        <v>0.30709911469777329</v>
      </c>
      <c r="CC4" s="28">
        <f t="shared" ref="CC4:CC28" si="11">DF4*CB4</f>
        <v>30.709911469777328</v>
      </c>
      <c r="CD4" s="255">
        <f t="shared" ref="CD4:CD27" si="12">0.6*BT4</f>
        <v>116.09999999999998</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42.075332443760409</v>
      </c>
      <c r="CN4" s="355">
        <v>1</v>
      </c>
      <c r="CO4" s="84">
        <f t="shared" ref="CO4:CO27" si="15">(1+($BQ$31*CN4))*$BQ$46</f>
        <v>4.2749999999999995</v>
      </c>
      <c r="CP4" s="78">
        <f>LN(CO4)/14.75</f>
        <v>9.8493837450082944E-2</v>
      </c>
      <c r="CQ4" s="103">
        <f>1-CA4-CH4</f>
        <v>0.30709911469777329</v>
      </c>
      <c r="CR4" s="71">
        <f>(1-CF4)*CD4</f>
        <v>116.09999999999998</v>
      </c>
      <c r="CS4" s="71">
        <f t="shared" ref="CS4:CS27" si="16">CC4-CI4</f>
        <v>30.709911469777328</v>
      </c>
      <c r="CT4" s="74">
        <f t="shared" ref="CT4:CT27" si="17">CS4/CR4</f>
        <v>0.26451258802564453</v>
      </c>
      <c r="CU4" s="353">
        <f>1-(_xlfn.POISSON.DIST(0,CT4,FALSE))</f>
        <v>0.23242001350979635</v>
      </c>
      <c r="CV4" s="355">
        <f>CT4/(CU4+0.000001)</f>
        <v>1.1380751853338578</v>
      </c>
      <c r="CW4" s="76">
        <f t="shared" ref="CW4:CW28" si="18">1-CG4</f>
        <v>1</v>
      </c>
      <c r="CX4" s="74">
        <f t="shared" ref="CX4:CX28" si="19">BY4+12</f>
        <v>39.075332443760409</v>
      </c>
      <c r="CY4" s="354">
        <v>1</v>
      </c>
      <c r="CZ4" s="83">
        <f>(1+($BQ$29*CY4))*$BQ$46</f>
        <v>2.2586249999999999</v>
      </c>
      <c r="DA4" s="79">
        <f t="shared" ref="DA4:DA28" si="20">IF(DF4&gt;2*CR4,0,LN(CZ4)/12.5)</f>
        <v>6.518049768398862E-2</v>
      </c>
      <c r="DB4" s="112">
        <f t="shared" ref="DB4:DB28" si="21">(CH4*CP4+CQ4*DA4)</f>
        <v>2.0016873134313166E-2</v>
      </c>
      <c r="DC4" s="55">
        <f t="shared" ref="DC4:DC28" si="22">IF(BU4&gt;0.25,$BW$38,$BW$37)</f>
        <v>-5.0125418235442863E-3</v>
      </c>
      <c r="DD4" s="133">
        <f t="shared" ref="DD4:DD27" si="23">DB4+DC4</f>
        <v>1.5004331310768879E-2</v>
      </c>
      <c r="DE4" s="466"/>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2">
        <f>EK$32</f>
        <v>0</v>
      </c>
      <c r="DR4" s="135">
        <f>DP4*DQ4</f>
        <v>0</v>
      </c>
      <c r="DS4" s="95">
        <f t="shared" ref="DS4:DS27" si="28">DP4-DR4</f>
        <v>92.660083310629844</v>
      </c>
      <c r="DT4" s="29">
        <f t="shared" ref="DT4:DT28" si="29">LN(DS4/DF4)/$BQ$36</f>
        <v>-5.0125418235442759E-3</v>
      </c>
      <c r="DU4" s="271">
        <f t="shared" ref="DU4:DU28" si="30">BA4</f>
        <v>40544</v>
      </c>
      <c r="DV4" s="89">
        <f t="shared" ref="DV4:DV28" si="31">DF4*CA4</f>
        <v>69.290088530222675</v>
      </c>
      <c r="DW4" s="29">
        <f t="shared" ref="DW4:DW28" si="32">IF(BR4=0,0.001,DV4/BR4)</f>
        <v>4.3306305331389169E-3</v>
      </c>
      <c r="DX4" s="145">
        <f t="shared" ref="DX4:DX27" si="33">DW4*315</f>
        <v>1.3641486179387587</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4">
      <c r="A5" s="54"/>
      <c r="B5" s="400"/>
      <c r="AD5" s="480"/>
      <c r="AE5" s="485">
        <f t="shared" ref="AE5:AE28" si="34">BA5</f>
        <v>40558</v>
      </c>
      <c r="AF5" s="397"/>
      <c r="BA5" s="405">
        <f t="shared" ref="BA5:BA28" si="35">IF($AB$20="x", EQ5,EP5)</f>
        <v>40558</v>
      </c>
      <c r="BB5" s="59">
        <f t="shared" si="0"/>
        <v>92.660083310629844</v>
      </c>
      <c r="BC5" s="301">
        <f t="shared" ref="BC5:BC27" si="36">IF(EB5&gt;0,"",DT5)</f>
        <v>-5.3658864116437593E-3</v>
      </c>
      <c r="BD5" s="233">
        <f t="shared" si="1"/>
        <v>0</v>
      </c>
      <c r="BE5" s="123">
        <f t="shared" ref="BE5:BE27" si="37">IF(EB5&gt;0,"",DX5)</f>
        <v>1.8242453901780251</v>
      </c>
      <c r="BF5" s="4" t="str">
        <f t="shared" si="2"/>
        <v>n/a</v>
      </c>
      <c r="BG5" s="3">
        <f t="shared" si="3"/>
        <v>1</v>
      </c>
      <c r="BH5" s="499">
        <v>95</v>
      </c>
      <c r="BI5" s="513" t="s">
        <v>309</v>
      </c>
      <c r="BJ5" s="514"/>
      <c r="BK5" s="514"/>
      <c r="BL5" s="514"/>
      <c r="BM5" s="515"/>
      <c r="BP5" s="271">
        <f t="shared" ref="BP5:BP28" si="38">BA5</f>
        <v>40558</v>
      </c>
      <c r="BQ5" s="456">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0</v>
      </c>
      <c r="BT5" s="17">
        <f t="shared" si="5"/>
        <v>1</v>
      </c>
      <c r="BU5" s="21">
        <f t="shared" si="6"/>
        <v>6.2500000000000001E-5</v>
      </c>
      <c r="BV5">
        <f t="shared" ref="BV5:BV27" si="39">BT5*12/20</f>
        <v>0.6</v>
      </c>
      <c r="BW5" s="18">
        <f t="shared" ref="BW5:BW27" si="40">CU5*BV5</f>
        <v>0</v>
      </c>
      <c r="BX5" s="18">
        <f t="shared" si="7"/>
        <v>0.05</v>
      </c>
      <c r="BY5" s="141">
        <f t="shared" ref="BY5:BY27" si="41">IF(BU5=0,0.001,(-$BQ$42*LN(BU5))+$BQ$41)</f>
        <v>53.401720006109592</v>
      </c>
      <c r="BZ5" s="27">
        <f t="shared" si="8"/>
        <v>65.401720006109599</v>
      </c>
      <c r="CA5" s="32">
        <f t="shared" si="9"/>
        <v>1</v>
      </c>
      <c r="CB5" s="130">
        <f t="shared" si="10"/>
        <v>0</v>
      </c>
      <c r="CC5" s="28">
        <f t="shared" si="11"/>
        <v>0</v>
      </c>
      <c r="CD5" s="255">
        <f t="shared" si="12"/>
        <v>0.6</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68.401720006109599</v>
      </c>
      <c r="CN5" s="355">
        <v>1</v>
      </c>
      <c r="CO5" s="84">
        <f t="shared" si="15"/>
        <v>4.2749999999999995</v>
      </c>
      <c r="CP5" s="78">
        <f t="shared" ref="CP5:CP27" si="48">LN(CO5)/14.75</f>
        <v>9.8493837450082944E-2</v>
      </c>
      <c r="CQ5" s="103">
        <f t="shared" ref="CQ5:CQ27" si="49">1-CA5-CH5</f>
        <v>0</v>
      </c>
      <c r="CR5" s="71">
        <f t="shared" ref="CR5:CR27" si="50">(1-CF5)*CD5</f>
        <v>0.6</v>
      </c>
      <c r="CS5" s="71">
        <f>CC5-CI5</f>
        <v>0</v>
      </c>
      <c r="CT5" s="74">
        <f t="shared" si="17"/>
        <v>0</v>
      </c>
      <c r="CU5" s="353">
        <f t="shared" ref="CU5:CU28" si="51">1-(_xlfn.POISSON.DIST(0,CT5,FALSE))</f>
        <v>0</v>
      </c>
      <c r="CV5" s="355">
        <f t="shared" ref="CV5:CV28" si="52">CT5/(CU5+0.000001)</f>
        <v>0</v>
      </c>
      <c r="CW5" s="76">
        <f t="shared" si="18"/>
        <v>1</v>
      </c>
      <c r="CX5" s="74">
        <f t="shared" si="19"/>
        <v>65.401720006109599</v>
      </c>
      <c r="CY5" s="354">
        <v>1</v>
      </c>
      <c r="CZ5" s="83">
        <f t="shared" ref="CZ5:CZ28" si="53">(1+($BQ$29*CY5))*$BQ$46</f>
        <v>2.2586249999999999</v>
      </c>
      <c r="DA5" s="79">
        <f t="shared" si="20"/>
        <v>0</v>
      </c>
      <c r="DB5" s="112">
        <f t="shared" si="21"/>
        <v>0</v>
      </c>
      <c r="DC5" s="55">
        <f t="shared" si="22"/>
        <v>-5.0125418235442863E-3</v>
      </c>
      <c r="DD5" s="133">
        <f t="shared" si="23"/>
        <v>-5.0125418235442863E-3</v>
      </c>
      <c r="DE5" s="466">
        <f t="shared" ref="DE5:DE28" si="54">IF(AD5="B",0,DH5*EXP(DB5*$BQ$36)-DH5)</f>
        <v>0</v>
      </c>
      <c r="DF5" s="377">
        <f>IF(OR($BA$31="n",$BA$31="p"),0,DS4)</f>
        <v>92.660083310629844</v>
      </c>
      <c r="DG5" s="240">
        <f t="shared" si="24"/>
        <v>64.862058317440884</v>
      </c>
      <c r="DH5" s="240">
        <f>DG5*(1-EL4)</f>
        <v>32.431029158720442</v>
      </c>
      <c r="DJ5" s="17">
        <f t="shared" si="25"/>
        <v>92.660083310629844</v>
      </c>
      <c r="DK5" s="266">
        <f t="shared" ref="DK5:DK27" si="55">DJ5-DL5</f>
        <v>6.8011729193012229</v>
      </c>
      <c r="DL5" s="135">
        <f t="shared" si="26"/>
        <v>85.858910391328621</v>
      </c>
      <c r="DM5" s="244">
        <f>'Mite Immigration'!C13</f>
        <v>0</v>
      </c>
      <c r="DN5" s="137">
        <f t="shared" ref="DN5:DN27" si="56">IF(EH5&gt;DV5*EG5,-DV5*EG5,-EH5)</f>
        <v>-0.46014961176713731</v>
      </c>
      <c r="DO5" s="98">
        <f>DM5+DN5</f>
        <v>-0.46014961176713731</v>
      </c>
      <c r="DP5" s="265">
        <f t="shared" si="27"/>
        <v>85.398760779561485</v>
      </c>
      <c r="DQ5" s="392">
        <f>EL$32</f>
        <v>0</v>
      </c>
      <c r="DR5" s="135">
        <f t="shared" ref="DR5:DR27" si="57">DP5*DQ5</f>
        <v>0</v>
      </c>
      <c r="DS5" s="95">
        <f t="shared" si="28"/>
        <v>85.398760779561485</v>
      </c>
      <c r="DT5" s="29">
        <f t="shared" si="29"/>
        <v>-5.3658864116437593E-3</v>
      </c>
      <c r="DU5" s="271">
        <f t="shared" si="30"/>
        <v>40558</v>
      </c>
      <c r="DV5" s="89">
        <f t="shared" si="31"/>
        <v>92.660083310629844</v>
      </c>
      <c r="DW5" s="29">
        <f t="shared" si="32"/>
        <v>5.7912552069143653E-3</v>
      </c>
      <c r="DX5" s="145">
        <f t="shared" si="33"/>
        <v>1.8242453901780251</v>
      </c>
      <c r="DY5" s="90"/>
      <c r="DZ5" s="90"/>
      <c r="EA5" s="90"/>
      <c r="EB5" s="90"/>
      <c r="EC5" s="17">
        <f t="shared" ref="EC5:EC28" si="58">BT4*0.9/20*$BQ$36</f>
        <v>132.42656249999999</v>
      </c>
      <c r="ED5" s="18">
        <f t="shared" ref="ED5:ED28" si="59">BR5-BR4</f>
        <v>0</v>
      </c>
      <c r="EE5" s="264">
        <f t="shared" ref="EE5:EE27" si="60">EC5-ED5</f>
        <v>132.42656249999999</v>
      </c>
      <c r="EF5" s="264">
        <f>EE5/$BQ$36</f>
        <v>8.7074999999999996</v>
      </c>
      <c r="EG5" s="104">
        <f t="shared" ref="EG5:EG27" si="61">IF(DW5&gt;0.15,1,$BQ$35)</f>
        <v>0.6</v>
      </c>
      <c r="EH5" s="263">
        <f t="shared" ref="EH5:EH27" si="62">EE5*EG5*DW5</f>
        <v>0.46014961176713731</v>
      </c>
      <c r="EJ5" s="17">
        <f t="shared" ref="EJ5:EJ28" si="63">DE5</f>
        <v>0</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3" customHeight="1" x14ac:dyDescent="0.4">
      <c r="A6" s="54"/>
      <c r="B6" s="400"/>
      <c r="AD6" s="480"/>
      <c r="AE6" s="485">
        <f t="shared" si="34"/>
        <v>40575</v>
      </c>
      <c r="AF6" s="397"/>
      <c r="BA6" s="405">
        <f t="shared" si="35"/>
        <v>40575</v>
      </c>
      <c r="BB6" s="59">
        <f t="shared" si="0"/>
        <v>85.398760779561485</v>
      </c>
      <c r="BC6" s="301">
        <f t="shared" si="36"/>
        <v>-5.0143630213130364E-3</v>
      </c>
      <c r="BD6" s="233">
        <f t="shared" si="1"/>
        <v>0</v>
      </c>
      <c r="BE6" s="123">
        <f t="shared" si="37"/>
        <v>1.6812881028476168</v>
      </c>
      <c r="BF6" s="4" t="str">
        <f t="shared" si="2"/>
        <v>n/a</v>
      </c>
      <c r="BG6" s="3">
        <f t="shared" si="3"/>
        <v>1</v>
      </c>
      <c r="BH6" s="498"/>
      <c r="BI6" s="516"/>
      <c r="BJ6" s="517"/>
      <c r="BK6" s="517"/>
      <c r="BL6" s="517"/>
      <c r="BM6" s="518"/>
      <c r="BP6" s="271">
        <f t="shared" si="38"/>
        <v>40575</v>
      </c>
      <c r="BQ6" s="456">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0</v>
      </c>
      <c r="BT6" s="17">
        <f t="shared" si="5"/>
        <v>1</v>
      </c>
      <c r="BU6" s="21">
        <f t="shared" si="6"/>
        <v>6.2500000000000001E-5</v>
      </c>
      <c r="BV6">
        <f t="shared" si="39"/>
        <v>0.6</v>
      </c>
      <c r="BW6" s="18">
        <f t="shared" si="40"/>
        <v>0</v>
      </c>
      <c r="BX6" s="18">
        <f t="shared" si="7"/>
        <v>0.05</v>
      </c>
      <c r="BY6" s="141">
        <f t="shared" si="41"/>
        <v>53.401720006109592</v>
      </c>
      <c r="BZ6" s="27">
        <f t="shared" si="8"/>
        <v>65.401720006109599</v>
      </c>
      <c r="CA6" s="32">
        <f t="shared" si="9"/>
        <v>1</v>
      </c>
      <c r="CB6" s="130">
        <f t="shared" si="10"/>
        <v>0</v>
      </c>
      <c r="CC6" s="28">
        <f t="shared" si="11"/>
        <v>0</v>
      </c>
      <c r="CD6" s="255">
        <f t="shared" si="12"/>
        <v>0.6</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68.401720006109599</v>
      </c>
      <c r="CN6" s="355">
        <v>1</v>
      </c>
      <c r="CO6" s="84">
        <f t="shared" si="15"/>
        <v>4.2749999999999995</v>
      </c>
      <c r="CP6" s="78">
        <f t="shared" si="48"/>
        <v>9.8493837450082944E-2</v>
      </c>
      <c r="CQ6" s="103">
        <f t="shared" si="49"/>
        <v>0</v>
      </c>
      <c r="CR6" s="71">
        <f t="shared" si="50"/>
        <v>0.6</v>
      </c>
      <c r="CS6" s="71">
        <f t="shared" si="16"/>
        <v>0</v>
      </c>
      <c r="CT6" s="74">
        <f t="shared" si="17"/>
        <v>0</v>
      </c>
      <c r="CU6" s="353">
        <f t="shared" si="51"/>
        <v>0</v>
      </c>
      <c r="CV6" s="355">
        <f t="shared" si="52"/>
        <v>0</v>
      </c>
      <c r="CW6" s="76">
        <f t="shared" si="18"/>
        <v>1</v>
      </c>
      <c r="CX6" s="74">
        <f t="shared" si="19"/>
        <v>65.401720006109599</v>
      </c>
      <c r="CY6" s="354">
        <v>1</v>
      </c>
      <c r="CZ6" s="83">
        <f t="shared" si="53"/>
        <v>2.2586249999999999</v>
      </c>
      <c r="DA6" s="79">
        <f t="shared" si="20"/>
        <v>0</v>
      </c>
      <c r="DB6" s="112">
        <f t="shared" si="21"/>
        <v>0</v>
      </c>
      <c r="DC6" s="55">
        <f t="shared" si="22"/>
        <v>-5.0125418235442863E-3</v>
      </c>
      <c r="DD6" s="133">
        <f t="shared" si="23"/>
        <v>-5.0125418235442863E-3</v>
      </c>
      <c r="DE6" s="466">
        <f t="shared" si="54"/>
        <v>0</v>
      </c>
      <c r="DF6" s="377">
        <f>IF(OR($BA$31="n",$BA$31="p"),0,DS5)</f>
        <v>85.398760779561485</v>
      </c>
      <c r="DG6" s="240">
        <f t="shared" si="24"/>
        <v>59.779132545693038</v>
      </c>
      <c r="DH6" s="240">
        <f>DG6*(1-EL5)</f>
        <v>59.779132545693038</v>
      </c>
      <c r="DJ6" s="17">
        <f t="shared" si="25"/>
        <v>85.398760779561485</v>
      </c>
      <c r="DK6" s="266">
        <f t="shared" si="55"/>
        <v>6.2681978949743353</v>
      </c>
      <c r="DL6" s="135">
        <f t="shared" si="26"/>
        <v>79.13056288458715</v>
      </c>
      <c r="DM6" s="244">
        <f>'Mite Immigration'!C14</f>
        <v>0</v>
      </c>
      <c r="DN6" s="137">
        <f t="shared" si="56"/>
        <v>-2.1916791340692147E-3</v>
      </c>
      <c r="DO6" s="98">
        <f t="shared" ref="DO6:DO27" si="64">DM6+DN6</f>
        <v>-2.1916791340692147E-3</v>
      </c>
      <c r="DP6" s="265">
        <f t="shared" si="27"/>
        <v>79.128371205453078</v>
      </c>
      <c r="DQ6" s="392">
        <f>EM$32</f>
        <v>0</v>
      </c>
      <c r="DR6" s="135">
        <f t="shared" si="57"/>
        <v>0</v>
      </c>
      <c r="DS6" s="95">
        <f t="shared" si="28"/>
        <v>79.128371205453078</v>
      </c>
      <c r="DT6" s="29">
        <f t="shared" si="29"/>
        <v>-5.0143630213130364E-3</v>
      </c>
      <c r="DU6" s="271">
        <f t="shared" si="30"/>
        <v>40575</v>
      </c>
      <c r="DV6" s="89">
        <f t="shared" si="31"/>
        <v>85.398760779561485</v>
      </c>
      <c r="DW6" s="29">
        <f t="shared" si="32"/>
        <v>5.3374225487225931E-3</v>
      </c>
      <c r="DX6" s="145">
        <f t="shared" si="33"/>
        <v>1.6812881028476168</v>
      </c>
      <c r="DY6" t="str">
        <f t="shared" ref="DY6:DY28" si="65">IF(DY5=100,100,IF(CU4&gt;$BQ$37,100,""))</f>
        <v/>
      </c>
      <c r="DZ6" t="str">
        <f t="shared" ref="DZ6:DZ28" si="66">IF(DZ5=100,100,IF(BT6&lt;100,IF(DW6&gt;$BQ$38,100,""),""))</f>
        <v/>
      </c>
      <c r="EB6">
        <f>SUM(DY6:EA6)</f>
        <v>0</v>
      </c>
      <c r="EC6" s="17">
        <f t="shared" si="58"/>
        <v>0.68437499999999996</v>
      </c>
      <c r="ED6" s="18">
        <f t="shared" si="59"/>
        <v>0</v>
      </c>
      <c r="EE6" s="264">
        <f t="shared" si="60"/>
        <v>0.68437499999999996</v>
      </c>
      <c r="EF6" s="264">
        <f t="shared" ref="EF6:EF28" si="67">EE6/$BQ$36</f>
        <v>4.4999999999999998E-2</v>
      </c>
      <c r="EG6" s="104">
        <f t="shared" si="61"/>
        <v>0.6</v>
      </c>
      <c r="EH6" s="263">
        <f t="shared" si="62"/>
        <v>2.1916791340692147E-3</v>
      </c>
      <c r="EJ6" s="17">
        <f t="shared" si="63"/>
        <v>0</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4">
      <c r="A7" s="54"/>
      <c r="B7" s="400"/>
      <c r="AD7" s="480"/>
      <c r="AE7" s="485">
        <f t="shared" si="34"/>
        <v>40589</v>
      </c>
      <c r="AF7" s="397"/>
      <c r="BA7" s="405">
        <f t="shared" si="35"/>
        <v>40589</v>
      </c>
      <c r="BB7" s="59">
        <f t="shared" si="0"/>
        <v>79.128371205453078</v>
      </c>
      <c r="BC7" s="301">
        <f t="shared" si="36"/>
        <v>9.6110138425129828E-3</v>
      </c>
      <c r="BD7" s="233">
        <f t="shared" si="1"/>
        <v>0</v>
      </c>
      <c r="BE7" s="123">
        <f>IF(EB7&gt;0,"",DX7)</f>
        <v>1.079428582196639</v>
      </c>
      <c r="BF7" s="4">
        <f t="shared" si="2"/>
        <v>0.18885179865203661</v>
      </c>
      <c r="BG7" s="3">
        <f t="shared" si="3"/>
        <v>0.69290088530222671</v>
      </c>
      <c r="BH7" s="499">
        <v>90</v>
      </c>
      <c r="BI7" s="496" t="s">
        <v>1</v>
      </c>
      <c r="BJ7" s="496"/>
      <c r="BK7" s="496"/>
      <c r="BL7" s="496"/>
      <c r="BM7" s="496"/>
      <c r="BP7" s="271">
        <f t="shared" si="38"/>
        <v>40589</v>
      </c>
      <c r="BQ7" s="456">
        <f>IF($BA$31="d",'Colony Type'!H34,IF($BA$31="n",'Colony Type'!H62,IF($BA$31="p",'Colony Type'!H90,IF($BA$31="a",'Colony Type'!H118,IF($BA$31="b",'Colony Type'!H146,IF($BA$31="c",'Colony Type'!H174,IF($BA$31="r",'Colony Type'!H202,IF($BA$31="s",'Colony Type'!H230,IF($BA$31="f",'Colony Type'!H258,"error")))))))))</f>
        <v>8</v>
      </c>
      <c r="BR7">
        <f t="shared" si="4"/>
        <v>16000</v>
      </c>
      <c r="BS7" s="81">
        <f>IF($BA$31="d",'Colony Type'!F34,IF($BA$31="n",'Colony Type'!F62,IF($BA$31="p",'Colony Type'!F90,IF($BA$31="a",'Colony Type'!F118,IF($BA$31="b",'Colony Type'!F146,IF($BA$31="c",'Colony Type'!F174,IF($BA$31="r",'Colony Type'!F202,IF($BA$31="s",'Colony Type'!F230,IF($BA$31="f",'Colony Type'!F258,"error")))))))))</f>
        <v>4.2999999999999997E-2</v>
      </c>
      <c r="BT7" s="17">
        <f t="shared" si="5"/>
        <v>193.49999999999997</v>
      </c>
      <c r="BU7" s="21">
        <f t="shared" si="6"/>
        <v>1.2093749999999999E-2</v>
      </c>
      <c r="BV7">
        <f t="shared" si="39"/>
        <v>116.09999999999998</v>
      </c>
      <c r="BW7" s="18">
        <f t="shared" si="40"/>
        <v>21.925693823501447</v>
      </c>
      <c r="BX7" s="18">
        <f t="shared" si="7"/>
        <v>9.6749999999999989</v>
      </c>
      <c r="BY7" s="141">
        <f t="shared" si="41"/>
        <v>27.075332443760409</v>
      </c>
      <c r="BZ7" s="27">
        <f t="shared" si="8"/>
        <v>39.075332443760409</v>
      </c>
      <c r="CA7" s="32">
        <f t="shared" si="9"/>
        <v>0.69290088530222671</v>
      </c>
      <c r="CB7" s="130">
        <f t="shared" si="10"/>
        <v>0.30709911469777329</v>
      </c>
      <c r="CC7" s="28">
        <f t="shared" si="11"/>
        <v>24.300252744671415</v>
      </c>
      <c r="CD7" s="255">
        <f t="shared" si="12"/>
        <v>116.09999999999998</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42.075332443760409</v>
      </c>
      <c r="CN7" s="355">
        <v>1</v>
      </c>
      <c r="CO7" s="84">
        <f t="shared" si="15"/>
        <v>4.2749999999999995</v>
      </c>
      <c r="CP7" s="78">
        <f t="shared" si="48"/>
        <v>9.8493837450082944E-2</v>
      </c>
      <c r="CQ7" s="103">
        <f t="shared" si="49"/>
        <v>0.30709911469777329</v>
      </c>
      <c r="CR7" s="71">
        <f t="shared" si="50"/>
        <v>116.09999999999998</v>
      </c>
      <c r="CS7" s="71">
        <f t="shared" si="16"/>
        <v>24.300252744671415</v>
      </c>
      <c r="CT7" s="74">
        <f t="shared" si="17"/>
        <v>0.20930450253808286</v>
      </c>
      <c r="CU7" s="353">
        <f t="shared" si="51"/>
        <v>0.18885179865203661</v>
      </c>
      <c r="CV7" s="355">
        <f t="shared" si="52"/>
        <v>1.1082944178324239</v>
      </c>
      <c r="CW7" s="76">
        <f t="shared" si="18"/>
        <v>1</v>
      </c>
      <c r="CX7" s="74">
        <f t="shared" si="19"/>
        <v>39.075332443760409</v>
      </c>
      <c r="CY7" s="354">
        <v>1</v>
      </c>
      <c r="CZ7" s="83">
        <f t="shared" si="53"/>
        <v>2.2586249999999999</v>
      </c>
      <c r="DA7" s="79">
        <f t="shared" si="20"/>
        <v>6.518049768398862E-2</v>
      </c>
      <c r="DB7" s="112">
        <f t="shared" si="21"/>
        <v>2.0016873134313166E-2</v>
      </c>
      <c r="DC7" s="55">
        <f t="shared" si="22"/>
        <v>-5.0125418235442863E-3</v>
      </c>
      <c r="DD7" s="133">
        <f t="shared" si="23"/>
        <v>1.5004331310768879E-2</v>
      </c>
      <c r="DE7" s="466">
        <f t="shared" si="54"/>
        <v>19.710084720211725</v>
      </c>
      <c r="DF7" s="377">
        <f>IF(OR($BA$31="n",$BA$31="p"),0,DS6)</f>
        <v>79.128371205453078</v>
      </c>
      <c r="DG7" s="240">
        <f t="shared" si="24"/>
        <v>55.389859843817149</v>
      </c>
      <c r="DH7" s="240">
        <f>DG7*(1-EL6)</f>
        <v>55.389859843817149</v>
      </c>
      <c r="DJ7" s="17">
        <f t="shared" si="25"/>
        <v>98.838455925664803</v>
      </c>
      <c r="DK7" s="266">
        <f t="shared" si="55"/>
        <v>7.2546603220036445</v>
      </c>
      <c r="DL7" s="135">
        <f t="shared" si="26"/>
        <v>91.583795603661159</v>
      </c>
      <c r="DM7" s="244">
        <f>'Mite Immigration'!C15</f>
        <v>0</v>
      </c>
      <c r="DN7" s="137">
        <f t="shared" si="56"/>
        <v>-1.4071122589349042E-3</v>
      </c>
      <c r="DO7" s="98">
        <f t="shared" si="64"/>
        <v>-1.4071122589349042E-3</v>
      </c>
      <c r="DP7" s="265">
        <f t="shared" si="27"/>
        <v>91.582388491402227</v>
      </c>
      <c r="DQ7" s="392">
        <f>EN$32</f>
        <v>0</v>
      </c>
      <c r="DR7" s="135">
        <f t="shared" si="57"/>
        <v>0</v>
      </c>
      <c r="DS7" s="95">
        <f t="shared" si="28"/>
        <v>91.582388491402227</v>
      </c>
      <c r="DT7" s="29">
        <f t="shared" si="29"/>
        <v>9.6110138425129828E-3</v>
      </c>
      <c r="DU7" s="271">
        <f t="shared" si="30"/>
        <v>40589</v>
      </c>
      <c r="DV7" s="89">
        <f t="shared" si="31"/>
        <v>54.82811846078166</v>
      </c>
      <c r="DW7" s="29">
        <f t="shared" si="32"/>
        <v>3.4267574037988536E-3</v>
      </c>
      <c r="DX7" s="145">
        <f t="shared" si="33"/>
        <v>1.079428582196639</v>
      </c>
      <c r="DY7" t="str">
        <f t="shared" si="65"/>
        <v/>
      </c>
      <c r="DZ7" t="str">
        <f t="shared" si="66"/>
        <v/>
      </c>
      <c r="EB7">
        <f t="shared" ref="EB7:EB28" si="68">SUM(DY7:EA7)</f>
        <v>0</v>
      </c>
      <c r="EC7" s="17">
        <f t="shared" si="58"/>
        <v>0.68437499999999996</v>
      </c>
      <c r="ED7" s="18">
        <f t="shared" si="59"/>
        <v>0</v>
      </c>
      <c r="EE7" s="264">
        <f t="shared" si="60"/>
        <v>0.68437499999999996</v>
      </c>
      <c r="EF7" s="264">
        <f t="shared" si="67"/>
        <v>4.4999999999999998E-2</v>
      </c>
      <c r="EG7" s="104">
        <f t="shared" si="61"/>
        <v>0.6</v>
      </c>
      <c r="EH7" s="263">
        <f t="shared" si="62"/>
        <v>1.4071122589349042E-3</v>
      </c>
      <c r="EJ7" s="17">
        <f t="shared" si="63"/>
        <v>19.710084720211725</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4">
      <c r="A8" s="54"/>
      <c r="B8" s="400"/>
      <c r="AD8" s="480"/>
      <c r="AE8" s="485">
        <f t="shared" si="34"/>
        <v>40603</v>
      </c>
      <c r="AF8" s="397"/>
      <c r="BA8" s="405">
        <f t="shared" si="35"/>
        <v>40603</v>
      </c>
      <c r="BB8" s="59">
        <f t="shared" si="0"/>
        <v>91.582388491402227</v>
      </c>
      <c r="BC8" s="301">
        <f t="shared" si="36"/>
        <v>-1.184026808766042E-2</v>
      </c>
      <c r="BD8" s="233">
        <f t="shared" si="1"/>
        <v>0</v>
      </c>
      <c r="BE8" s="123">
        <f t="shared" si="37"/>
        <v>2.0606037410565503</v>
      </c>
      <c r="BF8" s="4" t="str">
        <f t="shared" si="2"/>
        <v>n/a</v>
      </c>
      <c r="BG8" s="3">
        <f t="shared" si="3"/>
        <v>1</v>
      </c>
      <c r="BH8" s="498"/>
      <c r="BI8" s="496"/>
      <c r="BJ8" s="496"/>
      <c r="BK8" s="496"/>
      <c r="BL8" s="496"/>
      <c r="BM8" s="496"/>
      <c r="BP8" s="271">
        <f t="shared" si="38"/>
        <v>40603</v>
      </c>
      <c r="BQ8" s="456">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0</v>
      </c>
      <c r="BT8" s="17">
        <f t="shared" si="5"/>
        <v>1</v>
      </c>
      <c r="BU8" s="21">
        <f t="shared" si="6"/>
        <v>7.1428571428571434E-5</v>
      </c>
      <c r="BV8">
        <f t="shared" si="39"/>
        <v>0.6</v>
      </c>
      <c r="BW8" s="18">
        <f t="shared" si="40"/>
        <v>0</v>
      </c>
      <c r="BX8" s="18">
        <f t="shared" si="7"/>
        <v>0.05</v>
      </c>
      <c r="BY8" s="141">
        <f t="shared" si="41"/>
        <v>52.734063042986975</v>
      </c>
      <c r="BZ8" s="27">
        <f t="shared" si="8"/>
        <v>64.734063042986975</v>
      </c>
      <c r="CA8" s="32">
        <f t="shared" si="9"/>
        <v>1</v>
      </c>
      <c r="CB8" s="130">
        <f t="shared" si="10"/>
        <v>0</v>
      </c>
      <c r="CC8" s="28">
        <f t="shared" si="11"/>
        <v>0</v>
      </c>
      <c r="CD8" s="255">
        <f t="shared" si="12"/>
        <v>0.6</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67.734063042986975</v>
      </c>
      <c r="CN8" s="355">
        <v>1</v>
      </c>
      <c r="CO8" s="84">
        <f t="shared" si="15"/>
        <v>4.2749999999999995</v>
      </c>
      <c r="CP8" s="78">
        <f t="shared" si="48"/>
        <v>9.8493837450082944E-2</v>
      </c>
      <c r="CQ8" s="103">
        <f t="shared" si="49"/>
        <v>0</v>
      </c>
      <c r="CR8" s="71">
        <f t="shared" si="50"/>
        <v>0.6</v>
      </c>
      <c r="CS8" s="71">
        <f t="shared" si="16"/>
        <v>0</v>
      </c>
      <c r="CT8" s="74">
        <f t="shared" si="17"/>
        <v>0</v>
      </c>
      <c r="CU8" s="353">
        <f t="shared" si="51"/>
        <v>0</v>
      </c>
      <c r="CV8" s="355">
        <f t="shared" si="52"/>
        <v>0</v>
      </c>
      <c r="CW8" s="76">
        <f t="shared" si="18"/>
        <v>1</v>
      </c>
      <c r="CX8" s="74">
        <f t="shared" si="19"/>
        <v>64.734063042986975</v>
      </c>
      <c r="CY8" s="354">
        <v>1</v>
      </c>
      <c r="CZ8" s="83">
        <f t="shared" si="53"/>
        <v>2.2586249999999999</v>
      </c>
      <c r="DA8" s="79">
        <f t="shared" si="20"/>
        <v>0</v>
      </c>
      <c r="DB8" s="112">
        <f t="shared" si="21"/>
        <v>0</v>
      </c>
      <c r="DC8" s="55">
        <f t="shared" si="22"/>
        <v>-5.0125418235442863E-3</v>
      </c>
      <c r="DD8" s="133">
        <f t="shared" si="23"/>
        <v>-5.0125418235442863E-3</v>
      </c>
      <c r="DE8" s="466">
        <f t="shared" si="54"/>
        <v>0</v>
      </c>
      <c r="DF8" s="377">
        <f>IF(OR($BA$31="n",$BA$31="p"),0,DS7)</f>
        <v>91.582388491402227</v>
      </c>
      <c r="DG8" s="240">
        <f t="shared" si="24"/>
        <v>64.107671943981558</v>
      </c>
      <c r="DH8" s="240">
        <f>DG8*(1-EL7)</f>
        <v>64.107671943981558</v>
      </c>
      <c r="DJ8" s="17">
        <f t="shared" si="25"/>
        <v>91.582388491402227</v>
      </c>
      <c r="DK8" s="266">
        <f t="shared" si="55"/>
        <v>6.7220710174042466</v>
      </c>
      <c r="DL8" s="135">
        <f t="shared" si="26"/>
        <v>84.860317473997981</v>
      </c>
      <c r="DM8" s="244">
        <f>'Mite Immigration'!C16</f>
        <v>0</v>
      </c>
      <c r="DN8" s="137">
        <f t="shared" si="56"/>
        <v>-8.3696879089825877</v>
      </c>
      <c r="DO8" s="98">
        <f t="shared" si="64"/>
        <v>-8.3696879089825877</v>
      </c>
      <c r="DP8" s="265">
        <f t="shared" si="27"/>
        <v>76.490629565015396</v>
      </c>
      <c r="DQ8" s="392">
        <f>EO$32</f>
        <v>0</v>
      </c>
      <c r="DR8" s="135">
        <f t="shared" si="57"/>
        <v>0</v>
      </c>
      <c r="DS8" s="95">
        <f t="shared" si="28"/>
        <v>76.490629565015396</v>
      </c>
      <c r="DT8" s="29">
        <f t="shared" si="29"/>
        <v>-1.184026808766042E-2</v>
      </c>
      <c r="DU8" s="271">
        <f t="shared" si="30"/>
        <v>40603</v>
      </c>
      <c r="DV8" s="89">
        <f t="shared" si="31"/>
        <v>91.582388491402227</v>
      </c>
      <c r="DW8" s="29">
        <f t="shared" si="32"/>
        <v>6.541599177957302E-3</v>
      </c>
      <c r="DX8" s="145">
        <f t="shared" si="33"/>
        <v>2.0606037410565503</v>
      </c>
      <c r="DY8" t="str">
        <f t="shared" si="65"/>
        <v/>
      </c>
      <c r="DZ8" t="str">
        <f t="shared" si="66"/>
        <v/>
      </c>
      <c r="EB8">
        <f t="shared" si="68"/>
        <v>0</v>
      </c>
      <c r="EC8" s="17">
        <f t="shared" si="58"/>
        <v>132.42656249999999</v>
      </c>
      <c r="ED8" s="18">
        <f t="shared" si="59"/>
        <v>-2000</v>
      </c>
      <c r="EE8" s="264">
        <f t="shared" si="60"/>
        <v>2132.4265624999998</v>
      </c>
      <c r="EF8" s="264">
        <f t="shared" si="67"/>
        <v>140.21434931506849</v>
      </c>
      <c r="EG8" s="104">
        <f t="shared" si="61"/>
        <v>0.6</v>
      </c>
      <c r="EH8" s="263">
        <f t="shared" si="62"/>
        <v>8.3696879089825877</v>
      </c>
      <c r="EJ8" s="17">
        <f t="shared" si="63"/>
        <v>0</v>
      </c>
      <c r="EK8" s="163">
        <v>0</v>
      </c>
      <c r="EL8" s="37">
        <f>EN$59</f>
        <v>0</v>
      </c>
      <c r="EP8" s="2">
        <v>40603</v>
      </c>
      <c r="EQ8" s="259">
        <v>42979</v>
      </c>
      <c r="ES8" s="249"/>
      <c r="EU8" s="18"/>
      <c r="EV8" s="37"/>
    </row>
    <row r="9" spans="1:176" ht="12.75" customHeight="1" x14ac:dyDescent="0.4">
      <c r="A9" s="54"/>
      <c r="B9" s="400"/>
      <c r="AD9" s="480"/>
      <c r="AE9" s="485">
        <f t="shared" si="34"/>
        <v>40617</v>
      </c>
      <c r="AF9" s="397"/>
      <c r="BA9" s="405">
        <f t="shared" si="35"/>
        <v>40617</v>
      </c>
      <c r="BB9" s="59">
        <f t="shared" si="0"/>
        <v>76.490629565015396</v>
      </c>
      <c r="BC9" s="301">
        <f t="shared" si="36"/>
        <v>1.6124532565378994E-2</v>
      </c>
      <c r="BD9" s="233">
        <f t="shared" si="1"/>
        <v>0</v>
      </c>
      <c r="BE9" s="123">
        <f t="shared" si="37"/>
        <v>1.0581486271164688</v>
      </c>
      <c r="BF9" s="4">
        <f t="shared" si="2"/>
        <v>2.5090071300384653E-2</v>
      </c>
      <c r="BG9" s="3">
        <f t="shared" si="3"/>
        <v>0.52699819728752795</v>
      </c>
      <c r="BH9" s="499">
        <v>90</v>
      </c>
      <c r="BI9" s="513" t="s">
        <v>310</v>
      </c>
      <c r="BJ9" s="514"/>
      <c r="BK9" s="514"/>
      <c r="BL9" s="514"/>
      <c r="BM9" s="515"/>
      <c r="BP9" s="271">
        <f t="shared" si="38"/>
        <v>40617</v>
      </c>
      <c r="BQ9" s="456">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0.5</v>
      </c>
      <c r="BT9" s="17">
        <f t="shared" si="5"/>
        <v>2250</v>
      </c>
      <c r="BU9" s="21">
        <f t="shared" si="6"/>
        <v>0.1875</v>
      </c>
      <c r="BV9">
        <f t="shared" si="39"/>
        <v>1350</v>
      </c>
      <c r="BW9" s="18">
        <f t="shared" si="40"/>
        <v>33.871596255519279</v>
      </c>
      <c r="BX9" s="18">
        <f t="shared" si="7"/>
        <v>112.5</v>
      </c>
      <c r="BY9" s="141">
        <f t="shared" si="41"/>
        <v>13.369882167858357</v>
      </c>
      <c r="BZ9" s="27">
        <f t="shared" si="8"/>
        <v>25.369882167858357</v>
      </c>
      <c r="CA9" s="32">
        <f t="shared" si="9"/>
        <v>0.52699819728752795</v>
      </c>
      <c r="CB9" s="130">
        <f t="shared" si="10"/>
        <v>0.47300180271247205</v>
      </c>
      <c r="CC9" s="28">
        <f t="shared" si="11"/>
        <v>36.180205674864197</v>
      </c>
      <c r="CD9" s="255">
        <f t="shared" si="12"/>
        <v>1350</v>
      </c>
      <c r="CE9" s="80">
        <f>IF($BA$31="d",'Colony Type'!J36,IF($BA$31="n",'Colony Type'!J64,IF($BA$31="p",'Colony Type'!J92,IF($BA$31="a",'Colony Type'!J120,IF($BA$31="b",'Colony Type'!J148,IF($BA$31="c",'Colony Type'!J176,IF($BA$31="r",'Colony Type'!J204,IF($BA$31="s",'Colony Type'!J204,IF($BA$31="f",'Colony Type'!J260,"error")))))))))</f>
        <v>0.02</v>
      </c>
      <c r="CF9" s="106">
        <f t="shared" si="42"/>
        <v>1.2800000000000001E-2</v>
      </c>
      <c r="CG9" s="75">
        <f t="shared" si="43"/>
        <v>6.4000000000000001E-2</v>
      </c>
      <c r="CH9" s="102">
        <f t="shared" si="44"/>
        <v>3.0272115373598214E-2</v>
      </c>
      <c r="CI9" s="72">
        <f t="shared" si="13"/>
        <v>2.3155331631913088</v>
      </c>
      <c r="CJ9" s="73">
        <f t="shared" si="45"/>
        <v>0.13400076175875628</v>
      </c>
      <c r="CK9" s="356">
        <f t="shared" si="46"/>
        <v>0.12541060162305206</v>
      </c>
      <c r="CL9" s="357">
        <f t="shared" si="47"/>
        <v>1.0684962836038674</v>
      </c>
      <c r="CM9" s="73">
        <f t="shared" si="14"/>
        <v>28.369882167858357</v>
      </c>
      <c r="CN9" s="355">
        <v>1</v>
      </c>
      <c r="CO9" s="84">
        <f t="shared" si="15"/>
        <v>4.2749999999999995</v>
      </c>
      <c r="CP9" s="78">
        <f t="shared" si="48"/>
        <v>9.8493837450082944E-2</v>
      </c>
      <c r="CQ9" s="103">
        <f t="shared" si="49"/>
        <v>0.44272968733887386</v>
      </c>
      <c r="CR9" s="71">
        <f t="shared" si="50"/>
        <v>1332.72</v>
      </c>
      <c r="CS9" s="71">
        <f t="shared" si="16"/>
        <v>33.864672511672886</v>
      </c>
      <c r="CT9" s="74">
        <f t="shared" si="17"/>
        <v>2.5410193072568046E-2</v>
      </c>
      <c r="CU9" s="353">
        <f t="shared" si="51"/>
        <v>2.5090071300384653E-2</v>
      </c>
      <c r="CV9" s="355">
        <f t="shared" si="52"/>
        <v>1.012718539131428</v>
      </c>
      <c r="CW9" s="76">
        <f t="shared" si="18"/>
        <v>0.93599999999999994</v>
      </c>
      <c r="CX9" s="74">
        <f t="shared" si="19"/>
        <v>25.369882167858357</v>
      </c>
      <c r="CY9" s="354">
        <v>1</v>
      </c>
      <c r="CZ9" s="83">
        <f t="shared" si="53"/>
        <v>2.2586249999999999</v>
      </c>
      <c r="DA9" s="79">
        <f t="shared" si="20"/>
        <v>6.518049768398862E-2</v>
      </c>
      <c r="DB9" s="112">
        <f t="shared" si="21"/>
        <v>3.1838958171101814E-2</v>
      </c>
      <c r="DC9" s="55">
        <f t="shared" si="22"/>
        <v>-5.0125418235442863E-3</v>
      </c>
      <c r="DD9" s="133">
        <f t="shared" si="23"/>
        <v>2.6826416347557527E-2</v>
      </c>
      <c r="DE9" s="466">
        <f t="shared" si="54"/>
        <v>33.352453952260227</v>
      </c>
      <c r="DF9" s="377">
        <f>IF(OR($BA$31="n",$BA$31="p"),0,DS8)</f>
        <v>76.490629565015396</v>
      </c>
      <c r="DG9" s="240">
        <f t="shared" si="24"/>
        <v>53.543440695510775</v>
      </c>
      <c r="DH9" s="240">
        <f>DG9*(1-EL8)</f>
        <v>53.543440695510775</v>
      </c>
      <c r="DJ9" s="17">
        <f t="shared" si="25"/>
        <v>109.84308351727563</v>
      </c>
      <c r="DK9" s="266">
        <f t="shared" si="55"/>
        <v>8.0623908192033156</v>
      </c>
      <c r="DL9" s="135">
        <f t="shared" si="26"/>
        <v>101.78069269807231</v>
      </c>
      <c r="DM9" s="244">
        <f>'Mite Immigration'!C17</f>
        <v>0</v>
      </c>
      <c r="DN9" s="137">
        <f t="shared" si="56"/>
        <v>-4.0324217613326105</v>
      </c>
      <c r="DO9" s="98">
        <f t="shared" si="64"/>
        <v>-4.0324217613326105</v>
      </c>
      <c r="DP9" s="265">
        <f t="shared" si="27"/>
        <v>97.748270936739701</v>
      </c>
      <c r="DQ9" s="392">
        <f>EP$32</f>
        <v>0</v>
      </c>
      <c r="DR9" s="135">
        <f t="shared" si="57"/>
        <v>0</v>
      </c>
      <c r="DS9" s="95">
        <f t="shared" si="28"/>
        <v>97.748270936739701</v>
      </c>
      <c r="DT9" s="29">
        <f t="shared" si="29"/>
        <v>1.6124532565378994E-2</v>
      </c>
      <c r="DU9" s="271">
        <f t="shared" si="30"/>
        <v>40617</v>
      </c>
      <c r="DV9" s="89">
        <f t="shared" si="31"/>
        <v>40.310423890151199</v>
      </c>
      <c r="DW9" s="29">
        <f t="shared" si="32"/>
        <v>3.3592019908459331E-3</v>
      </c>
      <c r="DX9" s="145">
        <f t="shared" si="33"/>
        <v>1.0581486271164688</v>
      </c>
      <c r="DY9" t="str">
        <f t="shared" si="65"/>
        <v/>
      </c>
      <c r="DZ9" t="str">
        <f t="shared" si="66"/>
        <v/>
      </c>
      <c r="EB9">
        <f t="shared" si="68"/>
        <v>0</v>
      </c>
      <c r="EC9" s="17">
        <f t="shared" si="58"/>
        <v>0.68437499999999996</v>
      </c>
      <c r="ED9" s="18">
        <f t="shared" si="59"/>
        <v>-2000</v>
      </c>
      <c r="EE9" s="264">
        <f t="shared" si="60"/>
        <v>2000.684375</v>
      </c>
      <c r="EF9" s="264">
        <f t="shared" si="67"/>
        <v>131.55184931506849</v>
      </c>
      <c r="EG9" s="104">
        <f t="shared" si="61"/>
        <v>0.6</v>
      </c>
      <c r="EH9" s="263">
        <f t="shared" si="62"/>
        <v>4.0324217613326105</v>
      </c>
      <c r="EJ9" s="17">
        <f t="shared" si="63"/>
        <v>33.352453952260227</v>
      </c>
      <c r="EK9" s="164">
        <f>EP$57</f>
        <v>63.67644803087736</v>
      </c>
      <c r="EL9" s="37">
        <f>EO$59</f>
        <v>0</v>
      </c>
      <c r="EP9" s="2">
        <v>40617</v>
      </c>
      <c r="EQ9" s="259">
        <v>42993</v>
      </c>
      <c r="ES9" s="249"/>
      <c r="ET9">
        <v>10.08</v>
      </c>
      <c r="EU9" s="18"/>
      <c r="EV9" s="18"/>
    </row>
    <row r="10" spans="1:176" x14ac:dyDescent="0.4">
      <c r="A10" s="54"/>
      <c r="B10" s="400"/>
      <c r="AD10" s="480" t="s">
        <v>55</v>
      </c>
      <c r="AE10" s="485">
        <f t="shared" si="34"/>
        <v>40634</v>
      </c>
      <c r="AF10" s="397"/>
      <c r="BA10" s="405">
        <f t="shared" si="35"/>
        <v>40634</v>
      </c>
      <c r="BB10" s="59">
        <f t="shared" si="0"/>
        <v>97.748270936739701</v>
      </c>
      <c r="BC10" s="301">
        <f t="shared" si="36"/>
        <v>-8.5756172426814069E-3</v>
      </c>
      <c r="BD10" s="233">
        <f t="shared" si="1"/>
        <v>0</v>
      </c>
      <c r="BE10" s="123">
        <f t="shared" si="37"/>
        <v>1.1601899691033579</v>
      </c>
      <c r="BF10" s="4">
        <f t="shared" si="2"/>
        <v>1.8114430885287414E-2</v>
      </c>
      <c r="BG10" s="3">
        <f t="shared" si="3"/>
        <v>0.45215851579925165</v>
      </c>
      <c r="BH10" s="498"/>
      <c r="BI10" s="516"/>
      <c r="BJ10" s="517"/>
      <c r="BK10" s="517"/>
      <c r="BL10" s="517"/>
      <c r="BM10" s="518"/>
      <c r="BP10" s="271">
        <f t="shared" si="38"/>
        <v>40634</v>
      </c>
      <c r="BQ10" s="456">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1</v>
      </c>
      <c r="BT10" s="17">
        <f t="shared" si="5"/>
        <v>4500</v>
      </c>
      <c r="BU10" s="21">
        <f t="shared" si="6"/>
        <v>0.375</v>
      </c>
      <c r="BV10">
        <f t="shared" si="39"/>
        <v>2700</v>
      </c>
      <c r="BW10" s="18">
        <f t="shared" si="40"/>
        <v>48.908963390276014</v>
      </c>
      <c r="BX10" s="18">
        <f t="shared" si="7"/>
        <v>225</v>
      </c>
      <c r="BY10" s="141">
        <f t="shared" si="41"/>
        <v>9.9041462650586318</v>
      </c>
      <c r="BZ10" s="27">
        <f t="shared" si="8"/>
        <v>21.904146265058632</v>
      </c>
      <c r="CA10" s="32">
        <f t="shared" si="9"/>
        <v>0.45215851579925165</v>
      </c>
      <c r="CB10" s="130">
        <f t="shared" si="10"/>
        <v>0.54784148420074841</v>
      </c>
      <c r="CC10" s="28">
        <f t="shared" si="11"/>
        <v>53.550557828040354</v>
      </c>
      <c r="CD10" s="255">
        <f t="shared" si="12"/>
        <v>2700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5.2592782483271844E-2</v>
      </c>
      <c r="CI10" s="72">
        <f t="shared" si="13"/>
        <v>5.1408535514918734</v>
      </c>
      <c r="CJ10" s="73">
        <f t="shared" si="45"/>
        <v>9.9167699681556212E-2</v>
      </c>
      <c r="CK10" s="356">
        <f t="shared" si="46"/>
        <v>9.4409172004686792E-2</v>
      </c>
      <c r="CL10" s="357">
        <f t="shared" si="47"/>
        <v>1.0504032349381605</v>
      </c>
      <c r="CM10" s="73">
        <f t="shared" si="14"/>
        <v>24.904146265058632</v>
      </c>
      <c r="CN10" s="355">
        <v>1</v>
      </c>
      <c r="CO10" s="84">
        <f t="shared" si="15"/>
        <v>4.2749999999999995</v>
      </c>
      <c r="CP10" s="78">
        <f t="shared" si="48"/>
        <v>9.8493837450082944E-2</v>
      </c>
      <c r="CQ10" s="103">
        <f t="shared" si="49"/>
        <v>0.49524870171747659</v>
      </c>
      <c r="CR10" s="71">
        <f t="shared" si="50"/>
        <v>2648.16</v>
      </c>
      <c r="CS10" s="71">
        <f t="shared" si="16"/>
        <v>48.409704276548482</v>
      </c>
      <c r="CT10" s="74">
        <f t="shared" si="17"/>
        <v>1.8280505814055225E-2</v>
      </c>
      <c r="CU10" s="353">
        <f t="shared" si="51"/>
        <v>1.8114430885287414E-2</v>
      </c>
      <c r="CV10" s="355">
        <f t="shared" si="52"/>
        <v>1.0091123931753607</v>
      </c>
      <c r="CW10" s="76">
        <f t="shared" si="18"/>
        <v>0.90400000000000003</v>
      </c>
      <c r="CX10" s="74">
        <f t="shared" si="19"/>
        <v>21.904146265058632</v>
      </c>
      <c r="CY10" s="354">
        <v>1</v>
      </c>
      <c r="CZ10" s="83">
        <f t="shared" si="53"/>
        <v>2.2586249999999999</v>
      </c>
      <c r="DA10" s="79">
        <f t="shared" si="20"/>
        <v>6.518049768398862E-2</v>
      </c>
      <c r="DB10" s="112">
        <f t="shared" si="21"/>
        <v>3.74606218242493E-2</v>
      </c>
      <c r="DC10" s="55">
        <f t="shared" si="22"/>
        <v>-6.0180723255630212E-3</v>
      </c>
      <c r="DD10" s="133">
        <f t="shared" si="23"/>
        <v>3.144254949868628E-2</v>
      </c>
      <c r="DE10" s="466">
        <f t="shared" si="54"/>
        <v>0</v>
      </c>
      <c r="DF10" s="378">
        <f>IF(OR($BA$31="n",$BA$31="p"),BA32,DS9)</f>
        <v>97.748270936739701</v>
      </c>
      <c r="DG10" s="240">
        <f t="shared" si="24"/>
        <v>68.423789655717783</v>
      </c>
      <c r="DH10" s="378">
        <f>IF(OR($BA$31="n",$BA$31="p"),(DG10*(1-0.5)),(DG10*(1-EL9)))</f>
        <v>68.423789655717783</v>
      </c>
      <c r="DJ10" s="17">
        <f t="shared" si="25"/>
        <v>97.748270936739701</v>
      </c>
      <c r="DK10" s="266">
        <f t="shared" si="55"/>
        <v>8.5491967793127088</v>
      </c>
      <c r="DL10" s="135">
        <f t="shared" si="26"/>
        <v>89.199074157426992</v>
      </c>
      <c r="DM10" s="244">
        <f>'Mite Immigration'!C18</f>
        <v>0</v>
      </c>
      <c r="DN10" s="137">
        <f t="shared" si="56"/>
        <v>-3.402878614736188</v>
      </c>
      <c r="DO10" s="98">
        <f t="shared" si="64"/>
        <v>-3.402878614736188</v>
      </c>
      <c r="DP10" s="265">
        <f t="shared" si="27"/>
        <v>85.79619554269081</v>
      </c>
      <c r="DQ10" s="392">
        <f>EQ$32</f>
        <v>0</v>
      </c>
      <c r="DR10" s="135">
        <f t="shared" si="57"/>
        <v>0</v>
      </c>
      <c r="DS10" s="95">
        <f t="shared" si="28"/>
        <v>85.79619554269081</v>
      </c>
      <c r="DT10" s="29">
        <f t="shared" si="29"/>
        <v>-8.5756172426814069E-3</v>
      </c>
      <c r="DU10" s="271">
        <f t="shared" si="30"/>
        <v>40634</v>
      </c>
      <c r="DV10" s="89">
        <f t="shared" si="31"/>
        <v>44.197713108699347</v>
      </c>
      <c r="DW10" s="29">
        <f t="shared" si="32"/>
        <v>3.6831427590582788E-3</v>
      </c>
      <c r="DX10" s="145">
        <f t="shared" si="33"/>
        <v>1.1601899691033579</v>
      </c>
      <c r="DY10" t="str">
        <f t="shared" si="65"/>
        <v/>
      </c>
      <c r="DZ10" t="str">
        <f t="shared" si="66"/>
        <v/>
      </c>
      <c r="EB10">
        <f t="shared" si="68"/>
        <v>0</v>
      </c>
      <c r="EC10" s="17">
        <f t="shared" si="58"/>
        <v>1539.84375</v>
      </c>
      <c r="ED10" s="18">
        <f t="shared" si="59"/>
        <v>0</v>
      </c>
      <c r="EE10" s="264">
        <f t="shared" si="60"/>
        <v>1539.84375</v>
      </c>
      <c r="EF10" s="264">
        <f t="shared" si="67"/>
        <v>101.25</v>
      </c>
      <c r="EG10" s="104">
        <f t="shared" si="61"/>
        <v>0.6</v>
      </c>
      <c r="EH10" s="263">
        <f t="shared" si="62"/>
        <v>3.402878614736188</v>
      </c>
      <c r="EJ10" s="17">
        <f t="shared" si="63"/>
        <v>0</v>
      </c>
      <c r="EK10" s="164">
        <f>EQ$57</f>
        <v>58.18011773435191</v>
      </c>
      <c r="EL10" s="379">
        <f>IF(OR($BA$31="n",$BA$31="p"),0.15,EP59)</f>
        <v>0.56110890346727038</v>
      </c>
      <c r="EP10" s="2">
        <v>40634</v>
      </c>
      <c r="EQ10" s="259">
        <v>43009</v>
      </c>
      <c r="ES10" s="249"/>
      <c r="EU10" s="18"/>
      <c r="EV10" s="18"/>
    </row>
    <row r="11" spans="1:176" ht="12.75" customHeight="1" x14ac:dyDescent="0.4">
      <c r="A11" s="54"/>
      <c r="B11" s="400"/>
      <c r="AD11" s="480" t="s">
        <v>55</v>
      </c>
      <c r="AE11" s="485">
        <f t="shared" si="34"/>
        <v>40648</v>
      </c>
      <c r="AF11" s="397"/>
      <c r="BA11" s="405">
        <f t="shared" si="35"/>
        <v>40648</v>
      </c>
      <c r="BB11" s="59">
        <f t="shared" si="0"/>
        <v>85.79619554269081</v>
      </c>
      <c r="BC11" s="301">
        <f t="shared" si="36"/>
        <v>-7.5220277139901627E-3</v>
      </c>
      <c r="BD11" s="233">
        <f t="shared" si="1"/>
        <v>0</v>
      </c>
      <c r="BE11" s="123">
        <f t="shared" si="37"/>
        <v>0.30180835338144429</v>
      </c>
      <c r="BF11" s="4">
        <f t="shared" si="2"/>
        <v>4.6138210292184789E-3</v>
      </c>
      <c r="BG11" s="3">
        <f t="shared" si="3"/>
        <v>0.1340089849960413</v>
      </c>
      <c r="BH11" s="499">
        <v>50</v>
      </c>
      <c r="BI11" s="496" t="s">
        <v>311</v>
      </c>
      <c r="BJ11" s="496"/>
      <c r="BK11" s="496"/>
      <c r="BL11" s="496"/>
      <c r="BM11" s="496"/>
      <c r="BP11" s="271">
        <f t="shared" si="38"/>
        <v>40648</v>
      </c>
      <c r="BQ11" s="456">
        <f>IF($BA$31="d",'Colony Type'!H38,IF($BA$31="n",'Colony Type'!H66,IF($BA$31="p",'Colony Type'!H94,IF($BA$31="a",'Colony Type'!H122,IF($BA$31="b",'Colony Type'!H150,IF($BA$31="c",'Colony Type'!H178,IF($BA$31="r",'Colony Type'!H206,IF($BA$31="s",'Colony Type'!H234,IF($BA$31="f",'Colony Type'!H262,"error")))))))))</f>
        <v>6</v>
      </c>
      <c r="BR11">
        <f t="shared" si="4"/>
        <v>12000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1.875</v>
      </c>
      <c r="BV11">
        <f t="shared" si="39"/>
        <v>13500</v>
      </c>
      <c r="BW11" s="18">
        <f t="shared" si="40"/>
        <v>62.286583894449464</v>
      </c>
      <c r="BX11" s="18">
        <f t="shared" si="7"/>
        <v>1125</v>
      </c>
      <c r="BY11" s="141">
        <f t="shared" si="41"/>
        <v>1.8569567028881293</v>
      </c>
      <c r="BZ11" s="27">
        <f t="shared" si="8"/>
        <v>13.85695670288813</v>
      </c>
      <c r="CA11" s="32">
        <f t="shared" si="9"/>
        <v>0.1340089849960413</v>
      </c>
      <c r="CB11" s="130">
        <f t="shared" si="10"/>
        <v>0.8659910150039587</v>
      </c>
      <c r="CC11" s="28">
        <f t="shared" si="11"/>
        <v>74.298734461492927</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0.16627027488076004</v>
      </c>
      <c r="CI11" s="72">
        <f t="shared" si="13"/>
        <v>14.265357016606639</v>
      </c>
      <c r="CJ11" s="73">
        <f t="shared" si="45"/>
        <v>2.7518049800552932E-2</v>
      </c>
      <c r="CK11" s="356">
        <f t="shared" si="46"/>
        <v>2.714287748205102E-2</v>
      </c>
      <c r="CL11" s="357">
        <f t="shared" si="47"/>
        <v>1.0138221276926149</v>
      </c>
      <c r="CM11" s="73">
        <f t="shared" si="14"/>
        <v>16.85695670288813</v>
      </c>
      <c r="CN11" s="355">
        <v>1</v>
      </c>
      <c r="CO11" s="84">
        <f t="shared" si="15"/>
        <v>4.2749999999999995</v>
      </c>
      <c r="CP11" s="78">
        <f t="shared" si="48"/>
        <v>9.8493837450082944E-2</v>
      </c>
      <c r="CQ11" s="103">
        <f t="shared" si="49"/>
        <v>0.69972074012319863</v>
      </c>
      <c r="CR11" s="71">
        <f t="shared" si="50"/>
        <v>12981.6</v>
      </c>
      <c r="CS11" s="71">
        <f t="shared" si="16"/>
        <v>60.033377444886284</v>
      </c>
      <c r="CT11" s="74">
        <f t="shared" si="17"/>
        <v>4.6244975538366831E-3</v>
      </c>
      <c r="CU11" s="353">
        <f t="shared" si="51"/>
        <v>4.6138210292184789E-3</v>
      </c>
      <c r="CV11" s="355">
        <f t="shared" si="52"/>
        <v>1.002096836379339</v>
      </c>
      <c r="CW11" s="76">
        <f t="shared" si="18"/>
        <v>0.80800000000000005</v>
      </c>
      <c r="CX11" s="74">
        <f t="shared" si="19"/>
        <v>13.85695670288813</v>
      </c>
      <c r="CY11" s="354">
        <v>1</v>
      </c>
      <c r="CZ11" s="83">
        <f t="shared" si="53"/>
        <v>2.2586249999999999</v>
      </c>
      <c r="DA11" s="79">
        <f t="shared" si="20"/>
        <v>6.518049768398862E-2</v>
      </c>
      <c r="DB11" s="112">
        <f t="shared" si="21"/>
        <v>6.1984743507925141E-2</v>
      </c>
      <c r="DC11" s="55">
        <f t="shared" si="22"/>
        <v>-6.0180723255630212E-3</v>
      </c>
      <c r="DD11" s="133">
        <f t="shared" si="23"/>
        <v>5.5966671182362121E-2</v>
      </c>
      <c r="DE11" s="466">
        <f t="shared" si="54"/>
        <v>0</v>
      </c>
      <c r="DF11" s="377">
        <f>DS10</f>
        <v>85.79619554269081</v>
      </c>
      <c r="DG11" s="240">
        <f t="shared" si="24"/>
        <v>60.057336879883565</v>
      </c>
      <c r="DH11" s="378">
        <f>IF(OR($BA$31="n",$BA$31="p"),(DG11*(1-0.25)),(DG11*(1-EL10)))</f>
        <v>26.358630438047641</v>
      </c>
      <c r="DJ11" s="17">
        <f t="shared" si="25"/>
        <v>85.79619554269081</v>
      </c>
      <c r="DK11" s="266">
        <f t="shared" si="55"/>
        <v>7.5038520025131845</v>
      </c>
      <c r="DL11" s="135">
        <f t="shared" si="26"/>
        <v>78.292343540177626</v>
      </c>
      <c r="DM11" s="244">
        <f>'Mite Immigration'!C19</f>
        <v>0</v>
      </c>
      <c r="DN11" s="137">
        <f t="shared" si="56"/>
        <v>-1.7704293586750797</v>
      </c>
      <c r="DO11" s="98">
        <f t="shared" si="64"/>
        <v>-1.7704293586750797</v>
      </c>
      <c r="DP11" s="265">
        <f t="shared" si="27"/>
        <v>76.521914181502552</v>
      </c>
      <c r="DQ11" s="392">
        <f>ER$32</f>
        <v>0</v>
      </c>
      <c r="DR11" s="135">
        <f t="shared" si="57"/>
        <v>0</v>
      </c>
      <c r="DS11" s="95">
        <f t="shared" si="28"/>
        <v>76.521914181502552</v>
      </c>
      <c r="DT11" s="29">
        <f t="shared" si="29"/>
        <v>-7.5220277139901627E-3</v>
      </c>
      <c r="DU11" s="271">
        <f t="shared" si="30"/>
        <v>40648</v>
      </c>
      <c r="DV11" s="89">
        <f t="shared" si="31"/>
        <v>11.497461081197878</v>
      </c>
      <c r="DW11" s="29">
        <f t="shared" si="32"/>
        <v>9.581217567664899E-4</v>
      </c>
      <c r="DX11" s="145">
        <f t="shared" si="33"/>
        <v>0.30180835338144429</v>
      </c>
      <c r="DY11" t="str">
        <f t="shared" si="65"/>
        <v/>
      </c>
      <c r="DZ11" t="str">
        <f t="shared" si="66"/>
        <v/>
      </c>
      <c r="EB11">
        <f t="shared" si="68"/>
        <v>0</v>
      </c>
      <c r="EC11" s="17">
        <f t="shared" si="58"/>
        <v>3079.6875</v>
      </c>
      <c r="ED11" s="18">
        <f t="shared" si="59"/>
        <v>0</v>
      </c>
      <c r="EE11" s="264">
        <f t="shared" si="60"/>
        <v>3079.6875</v>
      </c>
      <c r="EF11" s="264">
        <f t="shared" si="67"/>
        <v>202.5</v>
      </c>
      <c r="EG11" s="104">
        <f t="shared" si="61"/>
        <v>0.6</v>
      </c>
      <c r="EH11" s="263">
        <f t="shared" si="62"/>
        <v>1.7704293586750797</v>
      </c>
      <c r="EJ11" s="17">
        <f t="shared" si="63"/>
        <v>0</v>
      </c>
      <c r="EK11" s="164">
        <f>ER$57</f>
        <v>53.158211619179269</v>
      </c>
      <c r="EL11" s="37">
        <f>EQ$59</f>
        <v>0.56110890346727027</v>
      </c>
      <c r="EP11" s="2">
        <v>40648</v>
      </c>
      <c r="EQ11" s="259">
        <v>43023</v>
      </c>
      <c r="ES11" s="249">
        <v>0.62</v>
      </c>
      <c r="ET11">
        <v>7.875</v>
      </c>
      <c r="EU11" s="18"/>
      <c r="EV11" s="18"/>
    </row>
    <row r="12" spans="1:176" x14ac:dyDescent="0.4">
      <c r="A12" s="54"/>
      <c r="B12" s="400"/>
      <c r="AD12" s="480"/>
      <c r="AE12" s="485">
        <f t="shared" si="34"/>
        <v>40664</v>
      </c>
      <c r="AF12" s="397"/>
      <c r="BA12" s="405">
        <f t="shared" si="35"/>
        <v>40664</v>
      </c>
      <c r="BB12" s="59">
        <f t="shared" si="0"/>
        <v>76.521914181502552</v>
      </c>
      <c r="BC12" s="301">
        <f t="shared" si="36"/>
        <v>1.7683237940043218E-2</v>
      </c>
      <c r="BD12" s="233">
        <f t="shared" si="1"/>
        <v>0</v>
      </c>
      <c r="BE12" s="123">
        <f t="shared" si="37"/>
        <v>0.22328565524416952</v>
      </c>
      <c r="BF12" s="4">
        <f t="shared" si="2"/>
        <v>2.3936074799899565E-3</v>
      </c>
      <c r="BG12" s="3">
        <f t="shared" si="3"/>
        <v>0.18526545175024842</v>
      </c>
      <c r="BH12" s="498"/>
      <c r="BI12" s="496"/>
      <c r="BJ12" s="496"/>
      <c r="BK12" s="496"/>
      <c r="BL12" s="496"/>
      <c r="BM12" s="496"/>
      <c r="BP12" s="271">
        <f t="shared" si="38"/>
        <v>40664</v>
      </c>
      <c r="BQ12" s="456">
        <f>IF($BA$31="d",'Colony Type'!H39,IF($BA$31="n",'Colony Type'!H67,IF($BA$31="p",'Colony Type'!H95,IF($BA$31="a",'Colony Type'!H123,IF($BA$31="b",'Colony Type'!H151,IF($BA$31="c",'Colony Type'!H179,IF($BA$31="r",'Colony Type'!H207,IF($BA$31="s",'Colony Type'!H235,IF($BA$31="f",'Colony Type'!H263,"error")))))))))</f>
        <v>10</v>
      </c>
      <c r="BR12">
        <f t="shared" si="4"/>
        <v>20000</v>
      </c>
      <c r="BS12" s="81">
        <f>IF($BA$31="d",'Colony Type'!F39,IF($BA$31="n",'Colony Type'!F67,IF($BA$31="p",'Colony Type'!F95,IF($BA$31="a",'Colony Type'!F123,IF($BA$31="b",'Colony Type'!F151,IF($BA$31="c",'Colony Type'!F179,IF($BA$31="r",'Colony Type'!F207,IF($BA$31="s",'Colony Type'!F235,IF($BA$31="f",'Colony Type'!F263,"error")))))))))</f>
        <v>7</v>
      </c>
      <c r="BT12" s="17">
        <f t="shared" si="5"/>
        <v>31500</v>
      </c>
      <c r="BU12" s="21">
        <f t="shared" si="6"/>
        <v>1.575</v>
      </c>
      <c r="BV12">
        <f t="shared" si="39"/>
        <v>18900</v>
      </c>
      <c r="BW12" s="18">
        <f t="shared" si="40"/>
        <v>45.239181371810176</v>
      </c>
      <c r="BX12" s="18">
        <f t="shared" si="7"/>
        <v>1575</v>
      </c>
      <c r="BY12" s="141">
        <f t="shared" si="41"/>
        <v>2.7287236386120179</v>
      </c>
      <c r="BZ12" s="27">
        <f t="shared" si="8"/>
        <v>14.728723638612017</v>
      </c>
      <c r="CA12" s="32">
        <f t="shared" si="9"/>
        <v>0.18526545175024842</v>
      </c>
      <c r="CB12" s="130">
        <f t="shared" si="10"/>
        <v>0.81473454824975156</v>
      </c>
      <c r="CC12" s="28">
        <f t="shared" si="11"/>
        <v>62.345047181872737</v>
      </c>
      <c r="CD12" s="255">
        <f t="shared" si="12"/>
        <v>18900</v>
      </c>
      <c r="CE12" s="80">
        <f>IF($BA$31="d",'Colony Type'!J39,IF($BA$31="n",'Colony Type'!J67,IF($BA$31="p",'Colony Type'!J95,IF($BA$31="a",'Colony Type'!J123,IF($BA$31="b",'Colony Type'!J151,IF($BA$31="c",'Colony Type'!J179,IF($BA$31="r",'Colony Type'!J207,IF($BA$31="s",'Colony Type'!J207,IF($BA$31="f",'Colony Type'!J263,"error")))))))))</f>
        <v>0.1</v>
      </c>
      <c r="CF12" s="106">
        <f t="shared" si="42"/>
        <v>6.4000000000000001E-2</v>
      </c>
      <c r="CG12" s="75">
        <f t="shared" si="43"/>
        <v>0.32</v>
      </c>
      <c r="CH12" s="102">
        <f t="shared" si="44"/>
        <v>0.26071505543992052</v>
      </c>
      <c r="CI12" s="72">
        <f t="shared" si="13"/>
        <v>19.950415098199276</v>
      </c>
      <c r="CJ12" s="73">
        <f t="shared" si="45"/>
        <v>1.6493398725363154E-2</v>
      </c>
      <c r="CK12" s="356">
        <f t="shared" si="46"/>
        <v>1.6358127340613815E-2</v>
      </c>
      <c r="CL12" s="357">
        <f t="shared" si="47"/>
        <v>1.0082693686100297</v>
      </c>
      <c r="CM12" s="73">
        <f t="shared" si="14"/>
        <v>17.728723638612017</v>
      </c>
      <c r="CN12" s="355">
        <v>1</v>
      </c>
      <c r="CO12" s="84">
        <f t="shared" si="15"/>
        <v>4.2749999999999995</v>
      </c>
      <c r="CP12" s="78">
        <f t="shared" si="48"/>
        <v>9.8493837450082944E-2</v>
      </c>
      <c r="CQ12" s="103">
        <f t="shared" si="49"/>
        <v>0.55401949280983098</v>
      </c>
      <c r="CR12" s="71">
        <f t="shared" si="50"/>
        <v>17690.399999999998</v>
      </c>
      <c r="CS12" s="71">
        <f t="shared" si="16"/>
        <v>42.394632083673457</v>
      </c>
      <c r="CT12" s="74">
        <f>CS12/CR12</f>
        <v>2.3964767378732792E-3</v>
      </c>
      <c r="CU12" s="353">
        <f t="shared" si="51"/>
        <v>2.3936074799899565E-3</v>
      </c>
      <c r="CV12" s="355">
        <f t="shared" si="52"/>
        <v>1.0007806113941189</v>
      </c>
      <c r="CW12" s="76">
        <f t="shared" si="18"/>
        <v>0.67999999999999994</v>
      </c>
      <c r="CX12" s="74">
        <f t="shared" si="19"/>
        <v>14.728723638612017</v>
      </c>
      <c r="CY12" s="354">
        <v>1</v>
      </c>
      <c r="CZ12" s="83">
        <f t="shared" si="53"/>
        <v>2.2586249999999999</v>
      </c>
      <c r="DA12" s="79">
        <f t="shared" si="20"/>
        <v>6.518049768398862E-2</v>
      </c>
      <c r="DB12" s="112">
        <f t="shared" si="21"/>
        <v>6.1790092559264626E-2</v>
      </c>
      <c r="DC12" s="55">
        <f t="shared" si="22"/>
        <v>-6.0180723255630212E-3</v>
      </c>
      <c r="DD12" s="133">
        <f t="shared" si="23"/>
        <v>5.5772020233701605E-2</v>
      </c>
      <c r="DE12" s="466">
        <f t="shared" si="54"/>
        <v>36.657561528891137</v>
      </c>
      <c r="DF12" s="377">
        <f t="shared" ref="DF12:DF28" si="69">DS11</f>
        <v>76.521914181502552</v>
      </c>
      <c r="DG12" s="240">
        <f t="shared" si="24"/>
        <v>53.565339927051781</v>
      </c>
      <c r="DH12" s="240">
        <f t="shared" ref="DH12:DH28" si="70">DG12*(1-EL11)</f>
        <v>23.509350776732166</v>
      </c>
      <c r="DJ12" s="17">
        <f t="shared" si="25"/>
        <v>113.17947571039369</v>
      </c>
      <c r="DK12" s="266">
        <f t="shared" si="55"/>
        <v>9.8988309456010768</v>
      </c>
      <c r="DL12" s="135">
        <f t="shared" si="26"/>
        <v>103.28064476479261</v>
      </c>
      <c r="DM12" s="244">
        <f>'Mite Immigration'!C20</f>
        <v>0</v>
      </c>
      <c r="DN12" s="137">
        <f t="shared" si="56"/>
        <v>-3.1465999332772103</v>
      </c>
      <c r="DO12" s="98">
        <f t="shared" si="64"/>
        <v>-3.1465999332772103</v>
      </c>
      <c r="DP12" s="265">
        <f t="shared" si="27"/>
        <v>100.1340448315154</v>
      </c>
      <c r="DQ12" s="392">
        <f>ES$32</f>
        <v>0</v>
      </c>
      <c r="DR12" s="135">
        <f t="shared" si="57"/>
        <v>0</v>
      </c>
      <c r="DS12" s="95">
        <f t="shared" si="28"/>
        <v>100.1340448315154</v>
      </c>
      <c r="DT12" s="29">
        <f t="shared" si="29"/>
        <v>1.7683237940043218E-2</v>
      </c>
      <c r="DU12" s="271">
        <f t="shared" si="30"/>
        <v>40664</v>
      </c>
      <c r="DV12" s="89">
        <f t="shared" si="31"/>
        <v>14.17686699962981</v>
      </c>
      <c r="DW12" s="29">
        <f t="shared" si="32"/>
        <v>7.0884334998149053E-4</v>
      </c>
      <c r="DX12" s="145">
        <f t="shared" si="33"/>
        <v>0.22328565524416952</v>
      </c>
      <c r="DY12" t="str">
        <f t="shared" si="65"/>
        <v/>
      </c>
      <c r="DZ12" t="str">
        <f t="shared" si="66"/>
        <v/>
      </c>
      <c r="EB12">
        <f t="shared" si="68"/>
        <v>0</v>
      </c>
      <c r="EC12" s="17">
        <f t="shared" si="58"/>
        <v>15398.4375</v>
      </c>
      <c r="ED12" s="18">
        <f t="shared" si="59"/>
        <v>8000</v>
      </c>
      <c r="EE12" s="264">
        <f t="shared" si="60"/>
        <v>7398.4375</v>
      </c>
      <c r="EF12" s="264">
        <f t="shared" si="67"/>
        <v>486.47260273972603</v>
      </c>
      <c r="EG12" s="104">
        <f t="shared" si="61"/>
        <v>0.6</v>
      </c>
      <c r="EH12" s="263">
        <f t="shared" si="62"/>
        <v>3.1465999332772103</v>
      </c>
      <c r="EJ12" s="17">
        <f t="shared" si="63"/>
        <v>36.657561528891137</v>
      </c>
      <c r="EK12" s="164">
        <f>ES$57</f>
        <v>61.120460888049024</v>
      </c>
      <c r="EL12" s="37">
        <f>ER$59</f>
        <v>0.56110890346727027</v>
      </c>
      <c r="EP12" s="2">
        <v>40664</v>
      </c>
      <c r="EQ12" s="259">
        <v>43040</v>
      </c>
      <c r="ES12" s="249">
        <v>0.6</v>
      </c>
      <c r="EU12" s="18"/>
      <c r="EV12" s="18"/>
    </row>
    <row r="13" spans="1:176" ht="12.75" customHeight="1" x14ac:dyDescent="0.4">
      <c r="A13" s="54"/>
      <c r="B13" s="400"/>
      <c r="AD13" s="480"/>
      <c r="AE13" s="485">
        <f t="shared" si="34"/>
        <v>40678</v>
      </c>
      <c r="AF13" s="397"/>
      <c r="BA13" s="405">
        <f t="shared" si="35"/>
        <v>40678</v>
      </c>
      <c r="BB13" s="59">
        <f t="shared" si="0"/>
        <v>100.1340448315154</v>
      </c>
      <c r="BC13" s="301">
        <f t="shared" si="36"/>
        <v>1.2299998898266088E-2</v>
      </c>
      <c r="BD13" s="233">
        <f t="shared" si="1"/>
        <v>0</v>
      </c>
      <c r="BE13" s="123">
        <f t="shared" si="37"/>
        <v>0.30279060851457201</v>
      </c>
      <c r="BF13" s="4">
        <f t="shared" si="2"/>
        <v>2.8105153630773039E-3</v>
      </c>
      <c r="BG13" s="3">
        <f t="shared" si="3"/>
        <v>0.26878691260437249</v>
      </c>
      <c r="BH13" s="499" t="s">
        <v>308</v>
      </c>
      <c r="BI13" s="496" t="s">
        <v>312</v>
      </c>
      <c r="BJ13" s="496"/>
      <c r="BK13" s="496"/>
      <c r="BL13" s="496"/>
      <c r="BM13" s="496"/>
      <c r="BP13" s="271">
        <f t="shared" si="38"/>
        <v>40678</v>
      </c>
      <c r="BQ13" s="456">
        <f>IF($BA$31="d",'Colony Type'!H40,IF($BA$31="n",'Colony Type'!H68,IF($BA$31="p",'Colony Type'!H96,IF($BA$31="a",'Colony Type'!H124,IF($BA$31="b",'Colony Type'!H152,IF($BA$31="c",'Colony Type'!H180,IF($BA$31="r",'Colony Type'!H208,IF($BA$31="s",'Colony Type'!H236,IF($BA$31="f",'Colony Type'!H264,"error")))))))))</f>
        <v>14</v>
      </c>
      <c r="BR13">
        <f t="shared" si="4"/>
        <v>28000</v>
      </c>
      <c r="BS13" s="81">
        <f>IF($BA$31="d",'Colony Type'!F40,IF($BA$31="n",'Colony Type'!F68,IF($BA$31="p",'Colony Type'!F96,IF($BA$31="a",'Colony Type'!F124,IF($BA$31="b",'Colony Type'!F152,IF($BA$31="c",'Colony Type'!F180,IF($BA$31="r",'Colony Type'!F208,IF($BA$31="s",'Colony Type'!F236,IF($BA$31="f",'Colony Type'!F264,"error")))))))))</f>
        <v>7</v>
      </c>
      <c r="BT13" s="17">
        <f t="shared" si="5"/>
        <v>31500</v>
      </c>
      <c r="BU13" s="21">
        <f t="shared" si="6"/>
        <v>1.125</v>
      </c>
      <c r="BV13">
        <f t="shared" si="39"/>
        <v>18900</v>
      </c>
      <c r="BW13" s="18">
        <f t="shared" si="40"/>
        <v>53.118740362161041</v>
      </c>
      <c r="BX13" s="18">
        <f t="shared" si="7"/>
        <v>1575</v>
      </c>
      <c r="BY13" s="141">
        <f t="shared" si="41"/>
        <v>4.4110848217180827</v>
      </c>
      <c r="BZ13" s="27">
        <f t="shared" si="8"/>
        <v>16.411084821718084</v>
      </c>
      <c r="CA13" s="32">
        <f t="shared" si="9"/>
        <v>0.26878691260437249</v>
      </c>
      <c r="CB13" s="130">
        <f t="shared" si="10"/>
        <v>0.73121308739562751</v>
      </c>
      <c r="CC13" s="28">
        <f t="shared" si="11"/>
        <v>73.219324074664556</v>
      </c>
      <c r="CD13" s="255">
        <f t="shared" si="12"/>
        <v>18900</v>
      </c>
      <c r="CE13" s="80">
        <f>IF($BA$31="d",'Colony Type'!J40,IF($BA$31="n",'Colony Type'!J68,IF($BA$31="p",'Colony Type'!J96,IF($BA$31="a",'Colony Type'!J124,IF($BA$31="b",'Colony Type'!J152,IF($BA$31="c",'Colony Type'!J180,IF($BA$31="r",'Colony Type'!J208,IF($BA$31="s",'Colony Type'!J208,IF($BA$31="f",'Colony Type'!J264,"error")))))))))</f>
        <v>0.1</v>
      </c>
      <c r="CF13" s="106">
        <f t="shared" si="42"/>
        <v>6.4000000000000001E-2</v>
      </c>
      <c r="CG13" s="75">
        <f t="shared" si="43"/>
        <v>0.32</v>
      </c>
      <c r="CH13" s="102">
        <f t="shared" si="44"/>
        <v>0.23398818796660081</v>
      </c>
      <c r="CI13" s="72">
        <f t="shared" si="13"/>
        <v>23.430183703892659</v>
      </c>
      <c r="CJ13" s="73">
        <f t="shared" si="45"/>
        <v>1.9370191554144062E-2</v>
      </c>
      <c r="CK13" s="356">
        <f t="shared" si="46"/>
        <v>1.9183794847205671E-2</v>
      </c>
      <c r="CL13" s="357">
        <f t="shared" si="47"/>
        <v>1.0097163626082846</v>
      </c>
      <c r="CM13" s="73">
        <f t="shared" si="14"/>
        <v>19.411084821718084</v>
      </c>
      <c r="CN13" s="355">
        <v>1</v>
      </c>
      <c r="CO13" s="84">
        <f t="shared" si="15"/>
        <v>4.2749999999999995</v>
      </c>
      <c r="CP13" s="78">
        <f t="shared" si="48"/>
        <v>9.8493837450082944E-2</v>
      </c>
      <c r="CQ13" s="103">
        <f t="shared" si="49"/>
        <v>0.4972248994290267</v>
      </c>
      <c r="CR13" s="71">
        <f t="shared" si="50"/>
        <v>17690.399999999998</v>
      </c>
      <c r="CS13" s="71">
        <f t="shared" si="16"/>
        <v>49.789140370771896</v>
      </c>
      <c r="CT13" s="74">
        <f t="shared" si="17"/>
        <v>2.8144722770978557E-3</v>
      </c>
      <c r="CU13" s="353">
        <f t="shared" si="51"/>
        <v>2.8105153630773039E-3</v>
      </c>
      <c r="CV13" s="355">
        <f t="shared" si="52"/>
        <v>1.0010517154056435</v>
      </c>
      <c r="CW13" s="76">
        <f t="shared" si="18"/>
        <v>0.67999999999999994</v>
      </c>
      <c r="CX13" s="74">
        <f t="shared" si="19"/>
        <v>16.411084821718084</v>
      </c>
      <c r="CY13" s="354">
        <v>1</v>
      </c>
      <c r="CZ13" s="83">
        <f t="shared" si="53"/>
        <v>2.2586249999999999</v>
      </c>
      <c r="DA13" s="79">
        <f t="shared" si="20"/>
        <v>6.518049768398862E-2</v>
      </c>
      <c r="DB13" s="112">
        <f t="shared" si="21"/>
        <v>5.5455760956476988E-2</v>
      </c>
      <c r="DC13" s="55">
        <f t="shared" si="22"/>
        <v>-6.0180723255630212E-3</v>
      </c>
      <c r="DD13" s="133">
        <f t="shared" si="23"/>
        <v>4.9437688630913967E-2</v>
      </c>
      <c r="DE13" s="466">
        <f t="shared" si="54"/>
        <v>40.738091193351011</v>
      </c>
      <c r="DF13" s="377">
        <f t="shared" si="69"/>
        <v>100.1340448315154</v>
      </c>
      <c r="DG13" s="240">
        <f t="shared" si="24"/>
        <v>70.09383138206077</v>
      </c>
      <c r="DH13" s="240">
        <f t="shared" si="70"/>
        <v>30.763558515452914</v>
      </c>
      <c r="DJ13" s="17">
        <f t="shared" si="25"/>
        <v>140.87213602486639</v>
      </c>
      <c r="DK13" s="266">
        <f t="shared" si="55"/>
        <v>12.32086869728991</v>
      </c>
      <c r="DL13" s="135">
        <f t="shared" si="26"/>
        <v>128.55126732757648</v>
      </c>
      <c r="DM13" s="244">
        <f>'Mite Immigration'!C21</f>
        <v>0</v>
      </c>
      <c r="DN13" s="137">
        <f t="shared" si="56"/>
        <v>-7.8193872323837539</v>
      </c>
      <c r="DO13" s="98">
        <f t="shared" si="64"/>
        <v>-7.8193872323837539</v>
      </c>
      <c r="DP13" s="265">
        <f t="shared" si="27"/>
        <v>120.73188009519274</v>
      </c>
      <c r="DQ13" s="392">
        <f>ET$32</f>
        <v>0</v>
      </c>
      <c r="DR13" s="135">
        <f t="shared" si="57"/>
        <v>0</v>
      </c>
      <c r="DS13" s="95">
        <f t="shared" si="28"/>
        <v>120.73188009519274</v>
      </c>
      <c r="DT13" s="29">
        <f t="shared" si="29"/>
        <v>1.2299998898266088E-2</v>
      </c>
      <c r="DU13" s="271">
        <f t="shared" si="30"/>
        <v>40678</v>
      </c>
      <c r="DV13" s="89">
        <f t="shared" si="31"/>
        <v>26.914720756850844</v>
      </c>
      <c r="DW13" s="29">
        <f t="shared" si="32"/>
        <v>9.6124002703038729E-4</v>
      </c>
      <c r="DX13" s="145">
        <f t="shared" si="33"/>
        <v>0.30279060851457201</v>
      </c>
      <c r="DY13" t="str">
        <f t="shared" si="65"/>
        <v/>
      </c>
      <c r="DZ13" t="str">
        <f t="shared" si="66"/>
        <v/>
      </c>
      <c r="EB13">
        <f t="shared" si="68"/>
        <v>0</v>
      </c>
      <c r="EC13" s="17">
        <f t="shared" si="58"/>
        <v>21557.8125</v>
      </c>
      <c r="ED13" s="18">
        <f t="shared" si="59"/>
        <v>8000</v>
      </c>
      <c r="EE13" s="264">
        <f t="shared" si="60"/>
        <v>13557.8125</v>
      </c>
      <c r="EF13" s="264">
        <f t="shared" si="67"/>
        <v>891.47260273972597</v>
      </c>
      <c r="EG13" s="104">
        <f t="shared" si="61"/>
        <v>0.6</v>
      </c>
      <c r="EH13" s="263">
        <f t="shared" si="62"/>
        <v>7.8193872323837539</v>
      </c>
      <c r="EJ13" s="17">
        <f t="shared" si="63"/>
        <v>40.738091193351011</v>
      </c>
      <c r="EK13" s="164">
        <f>ET$57</f>
        <v>55.844754542844555</v>
      </c>
      <c r="EL13" s="37">
        <f>ES$59</f>
        <v>0.49603554953398948</v>
      </c>
      <c r="EP13" s="2">
        <v>40678</v>
      </c>
      <c r="EQ13" s="259">
        <v>43054</v>
      </c>
      <c r="ES13" s="249">
        <v>0.57999999999999996</v>
      </c>
      <c r="ET13">
        <v>10.08</v>
      </c>
      <c r="EU13" s="18"/>
      <c r="EV13" s="18"/>
    </row>
    <row r="14" spans="1:176" x14ac:dyDescent="0.4">
      <c r="A14" s="54"/>
      <c r="B14" s="400"/>
      <c r="AD14" s="480"/>
      <c r="AE14" s="485">
        <f t="shared" si="34"/>
        <v>40695</v>
      </c>
      <c r="AF14" s="397"/>
      <c r="BA14" s="405">
        <f t="shared" si="35"/>
        <v>40695</v>
      </c>
      <c r="BB14" s="59">
        <f t="shared" si="0"/>
        <v>120.73188009519274</v>
      </c>
      <c r="BC14" s="301">
        <f t="shared" si="36"/>
        <v>1.3761329651189511E-2</v>
      </c>
      <c r="BD14" s="233">
        <f t="shared" si="1"/>
        <v>2</v>
      </c>
      <c r="BE14" s="123">
        <f t="shared" si="37"/>
        <v>0.29980839048016483</v>
      </c>
      <c r="BF14" s="4">
        <f t="shared" si="2"/>
        <v>3.3153529994276454E-3</v>
      </c>
      <c r="BG14" s="3">
        <f t="shared" si="3"/>
        <v>0.31533433172433362</v>
      </c>
      <c r="BH14" s="498"/>
      <c r="BI14" s="496"/>
      <c r="BJ14" s="496"/>
      <c r="BK14" s="496"/>
      <c r="BL14" s="496"/>
      <c r="BM14" s="496"/>
      <c r="BP14" s="271">
        <f t="shared" si="38"/>
        <v>40695</v>
      </c>
      <c r="BQ14" s="456">
        <f>IF($BA$31="d",'Colony Type'!H41,IF($BA$31="n",'Colony Type'!H69,IF($BA$31="p",'Colony Type'!H97,IF($BA$31="a",'Colony Type'!H125,IF($BA$31="b",'Colony Type'!H153,IF($BA$31="c",'Colony Type'!H181,IF($BA$31="r",'Colony Type'!H209,IF($BA$31="s",'Colony Type'!H237,IF($BA$31="f",'Colony Type'!H265,"error")))))))))</f>
        <v>20</v>
      </c>
      <c r="BR14">
        <f t="shared" si="4"/>
        <v>40000</v>
      </c>
      <c r="BS14" s="81">
        <f>IF($BA$31="d",'Colony Type'!F41,IF($BA$31="n",'Colony Type'!F69,IF($BA$31="p",'Colony Type'!F97,IF($BA$31="a",'Colony Type'!F125,IF($BA$31="b",'Colony Type'!F153,IF($BA$31="c",'Colony Type'!F181,IF($BA$31="r",'Colony Type'!F209,IF($BA$31="s",'Colony Type'!F237,IF($BA$31="f",'Colony Type'!F265,"error")))))))))</f>
        <v>8</v>
      </c>
      <c r="BT14" s="17">
        <f t="shared" si="5"/>
        <v>36000</v>
      </c>
      <c r="BU14" s="21">
        <f t="shared" si="6"/>
        <v>0.9</v>
      </c>
      <c r="BV14">
        <f t="shared" si="39"/>
        <v>21600</v>
      </c>
      <c r="BW14" s="18">
        <f t="shared" si="40"/>
        <v>71.61162478763714</v>
      </c>
      <c r="BX14" s="18">
        <f t="shared" si="7"/>
        <v>1800</v>
      </c>
      <c r="BY14" s="141">
        <f t="shared" si="41"/>
        <v>5.5268025782891312</v>
      </c>
      <c r="BZ14" s="27">
        <f t="shared" si="8"/>
        <v>17.526802578289132</v>
      </c>
      <c r="CA14" s="32">
        <f t="shared" si="9"/>
        <v>0.31533433172433362</v>
      </c>
      <c r="CB14" s="130">
        <f t="shared" si="10"/>
        <v>0.68466566827566644</v>
      </c>
      <c r="CC14" s="28">
        <f t="shared" si="11"/>
        <v>82.660973367552771</v>
      </c>
      <c r="CD14" s="255">
        <f t="shared" si="12"/>
        <v>21600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0.10954650692410663</v>
      </c>
      <c r="CI14" s="72">
        <f t="shared" si="13"/>
        <v>13.225755738808443</v>
      </c>
      <c r="CJ14" s="73">
        <f t="shared" si="45"/>
        <v>1.91344845758224E-2</v>
      </c>
      <c r="CK14" s="356">
        <f t="shared" si="46"/>
        <v>1.8952582375074023E-2</v>
      </c>
      <c r="CL14" s="357">
        <f t="shared" si="47"/>
        <v>1.0095977528100661</v>
      </c>
      <c r="CM14" s="73">
        <f t="shared" si="14"/>
        <v>20.526802578289132</v>
      </c>
      <c r="CN14" s="355">
        <v>1</v>
      </c>
      <c r="CO14" s="84">
        <f t="shared" si="15"/>
        <v>4.2749999999999995</v>
      </c>
      <c r="CP14" s="78">
        <f t="shared" si="48"/>
        <v>9.8493837450082944E-2</v>
      </c>
      <c r="CQ14" s="103">
        <f t="shared" si="49"/>
        <v>0.57511916135155983</v>
      </c>
      <c r="CR14" s="71">
        <f t="shared" si="50"/>
        <v>20908.8</v>
      </c>
      <c r="CS14" s="71">
        <f t="shared" si="16"/>
        <v>69.435217628744326</v>
      </c>
      <c r="CT14" s="74">
        <f t="shared" si="17"/>
        <v>3.3208609594402513E-3</v>
      </c>
      <c r="CU14" s="353">
        <f t="shared" si="51"/>
        <v>3.3153529994276454E-3</v>
      </c>
      <c r="CV14" s="355">
        <f t="shared" si="52"/>
        <v>1.0013593124777078</v>
      </c>
      <c r="CW14" s="76">
        <f t="shared" si="18"/>
        <v>0.84</v>
      </c>
      <c r="CX14" s="74">
        <f t="shared" si="19"/>
        <v>17.526802578289132</v>
      </c>
      <c r="CY14" s="354">
        <v>1</v>
      </c>
      <c r="CZ14" s="83">
        <f t="shared" si="53"/>
        <v>2.2586249999999999</v>
      </c>
      <c r="DA14" s="79">
        <f t="shared" si="20"/>
        <v>6.518049768398862E-2</v>
      </c>
      <c r="DB14" s="112">
        <f t="shared" si="21"/>
        <v>4.8276209010700163E-2</v>
      </c>
      <c r="DC14" s="55">
        <f t="shared" si="22"/>
        <v>-6.0180723255630212E-3</v>
      </c>
      <c r="DD14" s="133">
        <f t="shared" si="23"/>
        <v>4.2258136685137143E-2</v>
      </c>
      <c r="DE14" s="466">
        <f t="shared" si="54"/>
        <v>46.161013916223446</v>
      </c>
      <c r="DF14" s="377">
        <f t="shared" si="69"/>
        <v>120.73188009519274</v>
      </c>
      <c r="DG14" s="240">
        <f t="shared" si="24"/>
        <v>84.512316066634909</v>
      </c>
      <c r="DH14" s="240">
        <f t="shared" si="70"/>
        <v>42.591202924131458</v>
      </c>
      <c r="DJ14" s="17">
        <f t="shared" si="25"/>
        <v>166.89289401141619</v>
      </c>
      <c r="DK14" s="266">
        <f t="shared" si="55"/>
        <v>14.596679596470466</v>
      </c>
      <c r="DL14" s="135">
        <f t="shared" si="26"/>
        <v>152.29621441494572</v>
      </c>
      <c r="DM14" s="244">
        <f>'Mite Immigration'!C22</f>
        <v>2</v>
      </c>
      <c r="DN14" s="137">
        <f t="shared" si="56"/>
        <v>-5.4581188231165729</v>
      </c>
      <c r="DO14" s="98">
        <f t="shared" si="64"/>
        <v>-3.4581188231165729</v>
      </c>
      <c r="DP14" s="265">
        <f t="shared" si="27"/>
        <v>148.83809559182916</v>
      </c>
      <c r="DQ14" s="392">
        <f>EU$32</f>
        <v>0</v>
      </c>
      <c r="DR14" s="135">
        <f t="shared" si="57"/>
        <v>0</v>
      </c>
      <c r="DS14" s="95">
        <f t="shared" si="28"/>
        <v>148.83809559182916</v>
      </c>
      <c r="DT14" s="29">
        <f t="shared" si="29"/>
        <v>1.3761329651189511E-2</v>
      </c>
      <c r="DU14" s="271">
        <f t="shared" si="30"/>
        <v>40695</v>
      </c>
      <c r="DV14" s="89">
        <f t="shared" si="31"/>
        <v>38.070906727639979</v>
      </c>
      <c r="DW14" s="29">
        <f t="shared" si="32"/>
        <v>9.5177266819099953E-4</v>
      </c>
      <c r="DX14" s="145">
        <f t="shared" si="33"/>
        <v>0.29980839048016483</v>
      </c>
      <c r="DY14" t="str">
        <f t="shared" si="65"/>
        <v/>
      </c>
      <c r="DZ14" t="str">
        <f t="shared" si="66"/>
        <v/>
      </c>
      <c r="EB14">
        <f t="shared" si="68"/>
        <v>0</v>
      </c>
      <c r="EC14" s="17">
        <f t="shared" si="58"/>
        <v>21557.8125</v>
      </c>
      <c r="ED14" s="18">
        <f t="shared" si="59"/>
        <v>12000</v>
      </c>
      <c r="EE14" s="264">
        <f t="shared" si="60"/>
        <v>9557.8125</v>
      </c>
      <c r="EF14" s="264">
        <f t="shared" si="67"/>
        <v>628.45890410958907</v>
      </c>
      <c r="EG14" s="104">
        <f t="shared" si="61"/>
        <v>0.6</v>
      </c>
      <c r="EH14" s="263">
        <f t="shared" si="62"/>
        <v>5.4581188231165729</v>
      </c>
      <c r="EJ14" s="17">
        <f t="shared" si="63"/>
        <v>46.161013916223446</v>
      </c>
      <c r="EK14" s="164">
        <f>EU$57</f>
        <v>72.262086892113203</v>
      </c>
      <c r="EL14" s="37">
        <f>ET$59</f>
        <v>0.36423599242956095</v>
      </c>
      <c r="EP14" s="2">
        <v>40695</v>
      </c>
      <c r="EQ14" s="259">
        <v>43070</v>
      </c>
      <c r="ES14" s="249">
        <v>0.56999999999999995</v>
      </c>
      <c r="EU14" s="18"/>
      <c r="EV14" s="18"/>
    </row>
    <row r="15" spans="1:176" ht="12.75" customHeight="1" x14ac:dyDescent="0.4">
      <c r="A15" s="54"/>
      <c r="B15" s="400"/>
      <c r="AD15" s="480"/>
      <c r="AE15" s="485">
        <f t="shared" si="34"/>
        <v>40709</v>
      </c>
      <c r="AF15" s="397"/>
      <c r="BA15" s="405">
        <f t="shared" si="35"/>
        <v>40709</v>
      </c>
      <c r="BB15" s="59">
        <f t="shared" si="0"/>
        <v>148.83809559182916</v>
      </c>
      <c r="BC15" s="301">
        <f t="shared" si="36"/>
        <v>1.5719147027585454E-2</v>
      </c>
      <c r="BD15" s="233">
        <f t="shared" si="1"/>
        <v>3</v>
      </c>
      <c r="BE15" s="123">
        <f t="shared" si="37"/>
        <v>0.34106613383302192</v>
      </c>
      <c r="BF15" s="4">
        <f t="shared" si="2"/>
        <v>3.8839827072650879E-3</v>
      </c>
      <c r="BG15" s="3">
        <f t="shared" si="3"/>
        <v>0.34918467675703302</v>
      </c>
      <c r="BH15" s="499" t="s">
        <v>3</v>
      </c>
      <c r="BI15" s="496" t="s">
        <v>4</v>
      </c>
      <c r="BJ15" s="496"/>
      <c r="BK15" s="496"/>
      <c r="BL15" s="496"/>
      <c r="BM15" s="496"/>
      <c r="BP15" s="271">
        <f t="shared" si="38"/>
        <v>40709</v>
      </c>
      <c r="BQ15" s="456">
        <f>IF($BA$31="d",'Colony Type'!H42,IF($BA$31="n",'Colony Type'!H70,IF($BA$31="p",'Colony Type'!H98,IF($BA$31="a",'Colony Type'!H126,IF($BA$31="b",'Colony Type'!H154,IF($BA$31="c",'Colony Type'!H182,IF($BA$31="r",'Colony Type'!H210,IF($BA$31="s",'Colony Type'!H238,IF($BA$31="f",'Colony Type'!H266,"error")))))))))</f>
        <v>24</v>
      </c>
      <c r="BR15">
        <f t="shared" si="4"/>
        <v>48000</v>
      </c>
      <c r="BS15" s="81">
        <f>IF($BA$31="d",'Colony Type'!F42,IF($BA$31="n",'Colony Type'!F70,IF($BA$31="p",'Colony Type'!F98,IF($BA$31="a",'Colony Type'!F126,IF($BA$31="b",'Colony Type'!F154,IF($BA$31="c",'Colony Type'!F182,IF($BA$31="r",'Colony Type'!F210,IF($BA$31="s",'Colony Type'!F238,IF($BA$31="f",'Colony Type'!F266,"error")))))))))</f>
        <v>8</v>
      </c>
      <c r="BT15" s="17">
        <f t="shared" si="5"/>
        <v>36000</v>
      </c>
      <c r="BU15" s="21">
        <f t="shared" si="6"/>
        <v>0.75</v>
      </c>
      <c r="BV15">
        <f t="shared" si="39"/>
        <v>21600</v>
      </c>
      <c r="BW15" s="18">
        <f t="shared" si="40"/>
        <v>83.894026476925902</v>
      </c>
      <c r="BX15" s="18">
        <f t="shared" si="7"/>
        <v>1800</v>
      </c>
      <c r="BY15" s="141">
        <f t="shared" si="41"/>
        <v>6.4384103622589048</v>
      </c>
      <c r="BZ15" s="27">
        <f t="shared" si="8"/>
        <v>18.438410362258907</v>
      </c>
      <c r="CA15" s="32">
        <f t="shared" si="9"/>
        <v>0.34918467675703302</v>
      </c>
      <c r="CB15" s="130">
        <f t="shared" si="10"/>
        <v>0.65081532324296698</v>
      </c>
      <c r="CC15" s="28">
        <f t="shared" si="11"/>
        <v>96.866113293463911</v>
      </c>
      <c r="CD15" s="255">
        <f t="shared" si="12"/>
        <v>21600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0.10413045171887472</v>
      </c>
      <c r="CI15" s="72">
        <f t="shared" si="13"/>
        <v>15.498578126954227</v>
      </c>
      <c r="CJ15" s="73">
        <f t="shared" si="45"/>
        <v>2.2422711410524054E-2</v>
      </c>
      <c r="CK15" s="356">
        <f t="shared" si="46"/>
        <v>2.2173190872296078E-2</v>
      </c>
      <c r="CL15" s="357">
        <f t="shared" si="47"/>
        <v>1.01125325351976</v>
      </c>
      <c r="CM15" s="73">
        <f t="shared" si="14"/>
        <v>21.438410362258907</v>
      </c>
      <c r="CN15" s="355">
        <v>1</v>
      </c>
      <c r="CO15" s="84">
        <f t="shared" si="15"/>
        <v>4.2749999999999995</v>
      </c>
      <c r="CP15" s="78">
        <f t="shared" si="48"/>
        <v>9.8493837450082944E-2</v>
      </c>
      <c r="CQ15" s="103">
        <f t="shared" si="49"/>
        <v>0.54668487152409229</v>
      </c>
      <c r="CR15" s="71">
        <f t="shared" si="50"/>
        <v>20908.8</v>
      </c>
      <c r="CS15" s="71">
        <f t="shared" si="16"/>
        <v>81.367535166509683</v>
      </c>
      <c r="CT15" s="74">
        <f t="shared" si="17"/>
        <v>3.8915449555454967E-3</v>
      </c>
      <c r="CU15" s="353">
        <f t="shared" si="51"/>
        <v>3.8839827072650879E-3</v>
      </c>
      <c r="CV15" s="355">
        <f t="shared" si="52"/>
        <v>1.0016891319150887</v>
      </c>
      <c r="CW15" s="76">
        <f t="shared" si="18"/>
        <v>0.84</v>
      </c>
      <c r="CX15" s="74">
        <f t="shared" si="19"/>
        <v>18.438410362258907</v>
      </c>
      <c r="CY15" s="354">
        <v>1</v>
      </c>
      <c r="CZ15" s="83">
        <f t="shared" si="53"/>
        <v>2.2586249999999999</v>
      </c>
      <c r="DA15" s="79">
        <f t="shared" si="20"/>
        <v>6.518049768398862E-2</v>
      </c>
      <c r="DB15" s="112">
        <f t="shared" si="21"/>
        <v>4.5889399787450269E-2</v>
      </c>
      <c r="DC15" s="55">
        <f t="shared" si="22"/>
        <v>-6.0180723255630212E-3</v>
      </c>
      <c r="DD15" s="133">
        <f t="shared" si="23"/>
        <v>3.9871327461887249E-2</v>
      </c>
      <c r="DE15" s="466">
        <f t="shared" si="54"/>
        <v>66.869438810321412</v>
      </c>
      <c r="DF15" s="377">
        <f t="shared" si="69"/>
        <v>148.83809559182916</v>
      </c>
      <c r="DG15" s="240">
        <f t="shared" si="24"/>
        <v>104.18666691428041</v>
      </c>
      <c r="DH15" s="240">
        <f t="shared" si="70"/>
        <v>66.238132892829384</v>
      </c>
      <c r="DJ15" s="17">
        <f t="shared" si="25"/>
        <v>215.70753440215057</v>
      </c>
      <c r="DK15" s="266">
        <f t="shared" si="55"/>
        <v>18.866074465683624</v>
      </c>
      <c r="DL15" s="135">
        <f t="shared" si="26"/>
        <v>196.84145993646695</v>
      </c>
      <c r="DM15" s="244">
        <f>'Mite Immigration'!C23</f>
        <v>3</v>
      </c>
      <c r="DN15" s="137">
        <f t="shared" si="56"/>
        <v>-10.808548193613147</v>
      </c>
      <c r="DO15" s="98">
        <f t="shared" si="64"/>
        <v>-7.8085481936131469</v>
      </c>
      <c r="DP15" s="265">
        <f t="shared" si="27"/>
        <v>189.0329117428538</v>
      </c>
      <c r="DQ15" s="392">
        <f>EV$32</f>
        <v>0</v>
      </c>
      <c r="DR15" s="135">
        <f t="shared" si="57"/>
        <v>0</v>
      </c>
      <c r="DS15" s="95">
        <f t="shared" si="28"/>
        <v>189.0329117428538</v>
      </c>
      <c r="DT15" s="29">
        <f t="shared" si="29"/>
        <v>1.5719147027585454E-2</v>
      </c>
      <c r="DU15" s="271">
        <f t="shared" si="30"/>
        <v>40709</v>
      </c>
      <c r="DV15" s="89">
        <f t="shared" si="31"/>
        <v>51.971982298365248</v>
      </c>
      <c r="DW15" s="29">
        <f t="shared" si="32"/>
        <v>1.0827496312159426E-3</v>
      </c>
      <c r="DX15" s="145">
        <f t="shared" si="33"/>
        <v>0.34106613383302192</v>
      </c>
      <c r="DY15" t="str">
        <f t="shared" si="65"/>
        <v/>
      </c>
      <c r="DZ15" t="str">
        <f t="shared" si="66"/>
        <v/>
      </c>
      <c r="EB15">
        <f t="shared" si="68"/>
        <v>0</v>
      </c>
      <c r="EC15" s="17">
        <f t="shared" si="58"/>
        <v>24637.5</v>
      </c>
      <c r="ED15" s="18">
        <f t="shared" si="59"/>
        <v>8000</v>
      </c>
      <c r="EE15" s="264">
        <f t="shared" si="60"/>
        <v>16637.5</v>
      </c>
      <c r="EF15" s="264">
        <f t="shared" si="67"/>
        <v>1093.972602739726</v>
      </c>
      <c r="EG15" s="104">
        <f t="shared" si="61"/>
        <v>0.6</v>
      </c>
      <c r="EH15" s="263">
        <f t="shared" si="62"/>
        <v>10.808548193613147</v>
      </c>
      <c r="EJ15" s="17">
        <f t="shared" si="63"/>
        <v>66.869438810321412</v>
      </c>
      <c r="EK15" s="164">
        <f>EV$57</f>
        <v>66.024674006226704</v>
      </c>
      <c r="EL15" s="37">
        <f>EU$59</f>
        <v>0.38799020420560704</v>
      </c>
      <c r="EP15" s="2">
        <v>40709</v>
      </c>
      <c r="EQ15" s="259">
        <v>43084</v>
      </c>
      <c r="ES15" s="249">
        <v>0.55000000000000004</v>
      </c>
      <c r="ET15">
        <v>5.9849999999999994</v>
      </c>
      <c r="EU15" s="18"/>
      <c r="EV15" s="18"/>
    </row>
    <row r="16" spans="1:176" x14ac:dyDescent="0.4">
      <c r="A16" s="54"/>
      <c r="B16" s="400"/>
      <c r="AD16" s="480"/>
      <c r="AE16" s="485">
        <f t="shared" si="34"/>
        <v>40725</v>
      </c>
      <c r="AF16" s="397"/>
      <c r="BA16" s="405">
        <f t="shared" si="35"/>
        <v>40725</v>
      </c>
      <c r="BB16" s="59">
        <f t="shared" si="0"/>
        <v>189.0329117428538</v>
      </c>
      <c r="BC16" s="301">
        <f t="shared" si="36"/>
        <v>1.1342723825453239E-2</v>
      </c>
      <c r="BD16" s="233">
        <f t="shared" si="1"/>
        <v>5</v>
      </c>
      <c r="BE16" s="123">
        <f t="shared" si="37"/>
        <v>0.46742824543468042</v>
      </c>
      <c r="BF16" s="4">
        <f t="shared" si="2"/>
        <v>5.974513665850556E-3</v>
      </c>
      <c r="BG16" s="3">
        <f t="shared" si="3"/>
        <v>0.40819747876224383</v>
      </c>
      <c r="BH16" s="498"/>
      <c r="BI16" s="496"/>
      <c r="BJ16" s="496"/>
      <c r="BK16" s="496"/>
      <c r="BL16" s="496"/>
      <c r="BM16" s="496"/>
      <c r="BP16" s="271">
        <f t="shared" si="38"/>
        <v>40725</v>
      </c>
      <c r="BQ16" s="456">
        <f>IF($BA$31="d",'Colony Type'!H43,IF($BA$31="n",'Colony Type'!H71,IF($BA$31="p",'Colony Type'!H99,IF($BA$31="a",'Colony Type'!H127,IF($BA$31="b",'Colony Type'!H155,IF($BA$31="c",'Colony Type'!H183,IF($BA$31="r",'Colony Type'!H211,IF($BA$31="s",'Colony Type'!H239,IF($BA$31="f",'Colony Type'!H267,"error")))))))))</f>
        <v>26</v>
      </c>
      <c r="BR16">
        <f t="shared" si="4"/>
        <v>52000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0.51923076923076927</v>
      </c>
      <c r="BV16">
        <f t="shared" si="39"/>
        <v>16200</v>
      </c>
      <c r="BW16" s="18">
        <f t="shared" si="40"/>
        <v>96.787121386779006</v>
      </c>
      <c r="BX16" s="128">
        <f t="shared" si="7"/>
        <v>1350</v>
      </c>
      <c r="BY16" s="141">
        <f t="shared" si="41"/>
        <v>8.2770342628854898</v>
      </c>
      <c r="BZ16" s="27">
        <f t="shared" si="8"/>
        <v>20.27703426288549</v>
      </c>
      <c r="CA16" s="32">
        <f t="shared" si="9"/>
        <v>0.40819747876224383</v>
      </c>
      <c r="CB16" s="130">
        <f t="shared" si="10"/>
        <v>0.59180252123775623</v>
      </c>
      <c r="CC16" s="28">
        <f t="shared" si="11"/>
        <v>111.87015376633514</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9.4688403398040993E-2</v>
      </c>
      <c r="CI16" s="72">
        <f t="shared" si="13"/>
        <v>17.899224602613621</v>
      </c>
      <c r="CJ16" s="73">
        <f t="shared" si="45"/>
        <v>3.4527825236523188E-2</v>
      </c>
      <c r="CK16" s="356">
        <f t="shared" si="46"/>
        <v>3.3938541576072012E-2</v>
      </c>
      <c r="CL16" s="357">
        <f t="shared" si="47"/>
        <v>1.0173632582039602</v>
      </c>
      <c r="CM16" s="73">
        <f t="shared" si="14"/>
        <v>23.27703426288549</v>
      </c>
      <c r="CN16" s="355">
        <v>1</v>
      </c>
      <c r="CO16" s="84">
        <f t="shared" si="15"/>
        <v>4.2749999999999995</v>
      </c>
      <c r="CP16" s="78">
        <f t="shared" si="48"/>
        <v>9.8493837450082944E-2</v>
      </c>
      <c r="CQ16" s="103">
        <f t="shared" si="49"/>
        <v>0.49711411783971526</v>
      </c>
      <c r="CR16" s="71">
        <f t="shared" si="50"/>
        <v>15681.6</v>
      </c>
      <c r="CS16" s="71">
        <f t="shared" si="16"/>
        <v>93.970929163721507</v>
      </c>
      <c r="CT16" s="74">
        <f t="shared" si="17"/>
        <v>5.992432479066008E-3</v>
      </c>
      <c r="CU16" s="353">
        <f t="shared" si="51"/>
        <v>5.974513665850556E-3</v>
      </c>
      <c r="CV16" s="355">
        <f t="shared" si="52"/>
        <v>1.0028313571287002</v>
      </c>
      <c r="CW16" s="76">
        <f t="shared" si="18"/>
        <v>0.84</v>
      </c>
      <c r="CX16" s="74">
        <f t="shared" si="19"/>
        <v>20.27703426288549</v>
      </c>
      <c r="CY16" s="354">
        <v>1</v>
      </c>
      <c r="CZ16" s="83">
        <f t="shared" si="53"/>
        <v>2.2586249999999999</v>
      </c>
      <c r="DA16" s="79">
        <f t="shared" si="20"/>
        <v>6.518049768398862E-2</v>
      </c>
      <c r="DB16" s="112">
        <f t="shared" si="21"/>
        <v>4.1728369819224134E-2</v>
      </c>
      <c r="DC16" s="55">
        <f t="shared" si="22"/>
        <v>-6.0180723255630212E-3</v>
      </c>
      <c r="DD16" s="133">
        <f t="shared" si="23"/>
        <v>3.5710297493661114E-2</v>
      </c>
      <c r="DE16" s="466">
        <f t="shared" si="54"/>
        <v>71.775491637313266</v>
      </c>
      <c r="DF16" s="377">
        <f t="shared" si="69"/>
        <v>189.0329117428538</v>
      </c>
      <c r="DG16" s="240">
        <f t="shared" si="24"/>
        <v>132.32303821999764</v>
      </c>
      <c r="DH16" s="240">
        <f t="shared" si="70"/>
        <v>80.982995599914418</v>
      </c>
      <c r="DJ16" s="17">
        <f t="shared" si="25"/>
        <v>260.80840338016708</v>
      </c>
      <c r="DK16" s="266">
        <f t="shared" si="55"/>
        <v>22.810657833921397</v>
      </c>
      <c r="DL16" s="135">
        <f t="shared" si="26"/>
        <v>237.99774554624568</v>
      </c>
      <c r="DM16" s="244">
        <f>'Mite Immigration'!C24</f>
        <v>5</v>
      </c>
      <c r="DN16" s="137">
        <f t="shared" si="56"/>
        <v>-18.374381743158509</v>
      </c>
      <c r="DO16" s="98">
        <f t="shared" si="64"/>
        <v>-13.374381743158509</v>
      </c>
      <c r="DP16" s="265">
        <f t="shared" si="27"/>
        <v>224.62336380308716</v>
      </c>
      <c r="DQ16" s="392">
        <f>EW$32</f>
        <v>0</v>
      </c>
      <c r="DR16" s="135">
        <f t="shared" si="57"/>
        <v>0</v>
      </c>
      <c r="DS16" s="95">
        <f t="shared" si="28"/>
        <v>224.62336380308716</v>
      </c>
      <c r="DT16" s="29">
        <f t="shared" si="29"/>
        <v>1.1342723825453239E-2</v>
      </c>
      <c r="DU16" s="271">
        <f t="shared" si="30"/>
        <v>40725</v>
      </c>
      <c r="DV16" s="89">
        <f t="shared" si="31"/>
        <v>77.162757976518677</v>
      </c>
      <c r="DW16" s="29">
        <f t="shared" si="32"/>
        <v>1.4838991918561283E-3</v>
      </c>
      <c r="DX16" s="145">
        <f t="shared" si="33"/>
        <v>0.46742824543468042</v>
      </c>
      <c r="DY16" t="str">
        <f t="shared" si="65"/>
        <v/>
      </c>
      <c r="DZ16" t="str">
        <f t="shared" si="66"/>
        <v/>
      </c>
      <c r="EB16">
        <f t="shared" si="68"/>
        <v>0</v>
      </c>
      <c r="EC16" s="17">
        <f t="shared" si="58"/>
        <v>24637.5</v>
      </c>
      <c r="ED16" s="18">
        <f t="shared" si="59"/>
        <v>4000</v>
      </c>
      <c r="EE16" s="264">
        <f t="shared" si="60"/>
        <v>20637.5</v>
      </c>
      <c r="EF16" s="264">
        <f t="shared" si="67"/>
        <v>1356.986301369863</v>
      </c>
      <c r="EG16" s="104">
        <f t="shared" si="61"/>
        <v>0.6</v>
      </c>
      <c r="EH16" s="263">
        <f t="shared" si="62"/>
        <v>18.374381743158509</v>
      </c>
      <c r="EJ16" s="17">
        <f t="shared" si="63"/>
        <v>71.775491637313266</v>
      </c>
      <c r="EK16" s="164">
        <f>EW$57</f>
        <v>60.325652982273404</v>
      </c>
      <c r="EL16" s="37">
        <f>EV$59</f>
        <v>0.27853761740841004</v>
      </c>
      <c r="EP16" s="2">
        <v>40725</v>
      </c>
      <c r="EQ16" s="259">
        <v>43101</v>
      </c>
      <c r="ES16" s="249">
        <v>0.55000000000000004</v>
      </c>
      <c r="EU16" s="18"/>
      <c r="EV16" s="18"/>
    </row>
    <row r="17" spans="1:164" ht="12.75" customHeight="1" x14ac:dyDescent="0.4">
      <c r="A17" s="54"/>
      <c r="B17" s="400"/>
      <c r="AD17" s="480"/>
      <c r="AE17" s="485">
        <f t="shared" si="34"/>
        <v>40739</v>
      </c>
      <c r="AF17" s="382"/>
      <c r="BA17" s="405">
        <f t="shared" si="35"/>
        <v>40739</v>
      </c>
      <c r="BB17" s="59">
        <f t="shared" si="0"/>
        <v>224.62336380308716</v>
      </c>
      <c r="BC17" s="301">
        <f t="shared" si="36"/>
        <v>1.4653489309441102E-2</v>
      </c>
      <c r="BD17" s="233">
        <f t="shared" si="1"/>
        <v>10</v>
      </c>
      <c r="BE17" s="123">
        <f t="shared" si="37"/>
        <v>0.59007925407778894</v>
      </c>
      <c r="BF17" s="4">
        <f t="shared" si="2"/>
        <v>8.1438312891524145E-3</v>
      </c>
      <c r="BG17" s="3">
        <f t="shared" si="3"/>
        <v>0.43365884545767797</v>
      </c>
      <c r="BH17" s="499">
        <v>25</v>
      </c>
      <c r="BI17" s="496" t="s">
        <v>313</v>
      </c>
      <c r="BJ17" s="496"/>
      <c r="BK17" s="496"/>
      <c r="BL17" s="496"/>
      <c r="BM17" s="496"/>
      <c r="BP17" s="271">
        <f t="shared" si="38"/>
        <v>40739</v>
      </c>
      <c r="BQ17" s="456">
        <f>IF($BA$31="d",'Colony Type'!H44,IF($BA$31="n",'Colony Type'!H72,IF($BA$31="p",'Colony Type'!H100,IF($BA$31="a",'Colony Type'!H128,IF($BA$31="b",'Colony Type'!H156,IF($BA$31="c",'Colony Type'!H184,IF($BA$31="r",'Colony Type'!H212,IF($BA$31="s",'Colony Type'!H240,IF($BA$31="f",'Colony Type'!H268,"error")))))))))</f>
        <v>26</v>
      </c>
      <c r="BR17">
        <f t="shared" si="4"/>
        <v>52000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0.43269230769230771</v>
      </c>
      <c r="BV17">
        <f t="shared" si="39"/>
        <v>13500</v>
      </c>
      <c r="BW17" s="18">
        <f t="shared" si="40"/>
        <v>109.94172240355759</v>
      </c>
      <c r="BX17" s="128">
        <f t="shared" si="7"/>
        <v>1125</v>
      </c>
      <c r="BY17" s="141">
        <f t="shared" si="41"/>
        <v>9.1886420468552643</v>
      </c>
      <c r="BZ17" s="27">
        <f t="shared" si="8"/>
        <v>21.188642046855264</v>
      </c>
      <c r="CA17" s="32">
        <f t="shared" si="9"/>
        <v>0.43365884545767797</v>
      </c>
      <c r="CB17" s="130">
        <f t="shared" si="10"/>
        <v>0.56634115454232203</v>
      </c>
      <c r="CC17" s="28">
        <f t="shared" si="11"/>
        <v>127.21345519342042</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9.061458472677153E-2</v>
      </c>
      <c r="CI17" s="72">
        <f t="shared" si="13"/>
        <v>20.354152830947267</v>
      </c>
      <c r="CJ17" s="73">
        <f t="shared" si="45"/>
        <v>4.711609451608164E-2</v>
      </c>
      <c r="CK17" s="356">
        <f t="shared" si="46"/>
        <v>4.6023360295035731E-2</v>
      </c>
      <c r="CL17" s="357">
        <f t="shared" si="47"/>
        <v>1.0237430342773945</v>
      </c>
      <c r="CM17" s="73">
        <f t="shared" si="14"/>
        <v>24.188642046855264</v>
      </c>
      <c r="CN17" s="355">
        <v>1</v>
      </c>
      <c r="CO17" s="84">
        <f t="shared" si="15"/>
        <v>4.2749999999999995</v>
      </c>
      <c r="CP17" s="78">
        <f t="shared" si="48"/>
        <v>9.8493837450082944E-2</v>
      </c>
      <c r="CQ17" s="103">
        <f t="shared" si="49"/>
        <v>0.4757265698155505</v>
      </c>
      <c r="CR17" s="71">
        <f t="shared" si="50"/>
        <v>13068</v>
      </c>
      <c r="CS17" s="71">
        <f t="shared" si="16"/>
        <v>106.85930236247314</v>
      </c>
      <c r="CT17" s="74">
        <f t="shared" si="17"/>
        <v>8.1771734284108617E-3</v>
      </c>
      <c r="CU17" s="353">
        <f t="shared" si="51"/>
        <v>8.1438312891524145E-3</v>
      </c>
      <c r="CV17" s="355">
        <f t="shared" si="52"/>
        <v>1.0039708789673178</v>
      </c>
      <c r="CW17" s="76">
        <f t="shared" si="18"/>
        <v>0.84</v>
      </c>
      <c r="CX17" s="74">
        <f t="shared" si="19"/>
        <v>21.188642046855264</v>
      </c>
      <c r="CY17" s="354">
        <v>1</v>
      </c>
      <c r="CZ17" s="83">
        <f t="shared" si="53"/>
        <v>2.2586249999999999</v>
      </c>
      <c r="DA17" s="79">
        <f t="shared" si="20"/>
        <v>6.518049768398862E-2</v>
      </c>
      <c r="DB17" s="112">
        <f t="shared" si="21"/>
        <v>3.9933072760759747E-2</v>
      </c>
      <c r="DC17" s="55">
        <f t="shared" si="22"/>
        <v>-6.0180723255630212E-3</v>
      </c>
      <c r="DD17" s="133">
        <f t="shared" si="23"/>
        <v>3.3915000435196727E-2</v>
      </c>
      <c r="DE17" s="466">
        <f t="shared" si="54"/>
        <v>94.778915804260578</v>
      </c>
      <c r="DF17" s="377">
        <f t="shared" si="69"/>
        <v>224.62336380308716</v>
      </c>
      <c r="DG17" s="240">
        <f t="shared" si="24"/>
        <v>157.23635466216101</v>
      </c>
      <c r="DH17" s="240">
        <f t="shared" si="70"/>
        <v>113.44011506457895</v>
      </c>
      <c r="DJ17" s="17">
        <f t="shared" si="25"/>
        <v>319.40227960734774</v>
      </c>
      <c r="DK17" s="266">
        <f t="shared" si="55"/>
        <v>27.935357975707518</v>
      </c>
      <c r="DL17" s="135">
        <f t="shared" si="26"/>
        <v>291.46692163164022</v>
      </c>
      <c r="DM17" s="244">
        <f>'Mite Immigration'!C25</f>
        <v>10</v>
      </c>
      <c r="DN17" s="137">
        <f t="shared" si="56"/>
        <v>-20.768682317630748</v>
      </c>
      <c r="DO17" s="98">
        <f t="shared" si="64"/>
        <v>-10.768682317630748</v>
      </c>
      <c r="DP17" s="265">
        <f t="shared" si="27"/>
        <v>280.69823931400947</v>
      </c>
      <c r="DQ17" s="392">
        <f>EX$32</f>
        <v>0</v>
      </c>
      <c r="DR17" s="135">
        <f t="shared" si="57"/>
        <v>0</v>
      </c>
      <c r="DS17" s="95">
        <f t="shared" si="28"/>
        <v>280.69823931400947</v>
      </c>
      <c r="DT17" s="29">
        <f t="shared" si="29"/>
        <v>1.4653489309441102E-2</v>
      </c>
      <c r="DU17" s="271">
        <f t="shared" si="30"/>
        <v>40739</v>
      </c>
      <c r="DV17" s="89">
        <f t="shared" si="31"/>
        <v>97.409908609666743</v>
      </c>
      <c r="DW17" s="29">
        <f t="shared" si="32"/>
        <v>1.873267473262822E-3</v>
      </c>
      <c r="DX17" s="145">
        <f t="shared" si="33"/>
        <v>0.59007925407778894</v>
      </c>
      <c r="DY17" t="str">
        <f t="shared" si="65"/>
        <v/>
      </c>
      <c r="DZ17" t="str">
        <f t="shared" si="66"/>
        <v/>
      </c>
      <c r="EB17">
        <f t="shared" si="68"/>
        <v>0</v>
      </c>
      <c r="EC17" s="17">
        <f t="shared" si="58"/>
        <v>18478.125</v>
      </c>
      <c r="ED17" s="18">
        <f t="shared" si="59"/>
        <v>0</v>
      </c>
      <c r="EE17" s="264">
        <f t="shared" si="60"/>
        <v>18478.125</v>
      </c>
      <c r="EF17" s="264">
        <f t="shared" si="67"/>
        <v>1215</v>
      </c>
      <c r="EG17" s="104">
        <f t="shared" si="61"/>
        <v>0.6</v>
      </c>
      <c r="EH17" s="263">
        <f t="shared" si="62"/>
        <v>20.768682317630748</v>
      </c>
      <c r="EJ17" s="17">
        <f t="shared" si="63"/>
        <v>94.778915804260578</v>
      </c>
      <c r="EK17" s="164">
        <f>EX$57</f>
        <v>78.460784817085809</v>
      </c>
      <c r="EL17" s="37">
        <f>EW$59</f>
        <v>0.20920590349454415</v>
      </c>
      <c r="EP17" s="2">
        <v>40739</v>
      </c>
      <c r="EQ17" s="259">
        <v>43115</v>
      </c>
      <c r="ES17" s="249">
        <v>0.56000000000000005</v>
      </c>
      <c r="ET17">
        <v>11.654999999999999</v>
      </c>
      <c r="EU17" s="18"/>
      <c r="EV17" s="18"/>
    </row>
    <row r="18" spans="1:164" ht="12.75" customHeight="1" x14ac:dyDescent="0.4">
      <c r="A18" s="54"/>
      <c r="B18" s="400"/>
      <c r="AD18" s="480"/>
      <c r="AE18" s="485">
        <f t="shared" si="34"/>
        <v>40756</v>
      </c>
      <c r="AF18" s="382"/>
      <c r="BA18" s="405">
        <f t="shared" si="35"/>
        <v>40756</v>
      </c>
      <c r="BB18" s="59">
        <f t="shared" si="0"/>
        <v>280.69823931400947</v>
      </c>
      <c r="BC18" s="301">
        <f t="shared" si="36"/>
        <v>1.6593103155688394E-2</v>
      </c>
      <c r="BD18" s="233">
        <f t="shared" si="1"/>
        <v>15</v>
      </c>
      <c r="BE18" s="123">
        <f t="shared" si="37"/>
        <v>0.78227266740050561</v>
      </c>
      <c r="BF18" s="4">
        <f t="shared" si="2"/>
        <v>1.1117171262237102E-2</v>
      </c>
      <c r="BG18" s="3">
        <f t="shared" si="3"/>
        <v>0.44236210732993247</v>
      </c>
      <c r="BH18" s="498"/>
      <c r="BI18" s="496"/>
      <c r="BJ18" s="496"/>
      <c r="BK18" s="496"/>
      <c r="BL18" s="496"/>
      <c r="BM18" s="496"/>
      <c r="BP18" s="271">
        <f t="shared" si="38"/>
        <v>40756</v>
      </c>
      <c r="BQ18" s="456">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135.0736308361808</v>
      </c>
      <c r="BX18" s="18">
        <f t="shared" si="7"/>
        <v>1012.5</v>
      </c>
      <c r="BY18" s="141">
        <f t="shared" si="41"/>
        <v>9.5193410593779895</v>
      </c>
      <c r="BZ18" s="27">
        <f t="shared" si="8"/>
        <v>21.519341059377989</v>
      </c>
      <c r="CA18" s="32">
        <f t="shared" si="9"/>
        <v>0.44236210732993247</v>
      </c>
      <c r="CB18" s="130">
        <f t="shared" si="10"/>
        <v>0.55763789267006758</v>
      </c>
      <c r="CC18" s="28">
        <f t="shared" si="11"/>
        <v>156.52797464726257</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25.044475943562013</v>
      </c>
      <c r="CJ18" s="73">
        <f t="shared" si="45"/>
        <v>6.4414804381589544E-2</v>
      </c>
      <c r="CK18" s="356">
        <f t="shared" si="46"/>
        <v>6.2384008366360821E-2</v>
      </c>
      <c r="CL18" s="357">
        <f t="shared" si="47"/>
        <v>1.0325531505334271</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131.48349870370055</v>
      </c>
      <c r="CT18" s="74">
        <f t="shared" si="17"/>
        <v>1.1179428859614713E-2</v>
      </c>
      <c r="CU18" s="353">
        <f t="shared" si="51"/>
        <v>1.1117171262237102E-2</v>
      </c>
      <c r="CV18" s="355">
        <f t="shared" si="52"/>
        <v>1.0055096828365715</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6">
        <f t="shared" si="54"/>
        <v>127.17197737527252</v>
      </c>
      <c r="DF18" s="377">
        <f t="shared" si="69"/>
        <v>280.69823931400947</v>
      </c>
      <c r="DG18" s="240">
        <f t="shared" si="24"/>
        <v>196.48876751980663</v>
      </c>
      <c r="DH18" s="240">
        <f t="shared" si="70"/>
        <v>155.38215738429605</v>
      </c>
      <c r="DJ18" s="17">
        <f t="shared" si="25"/>
        <v>407.87021668928196</v>
      </c>
      <c r="DK18" s="266">
        <f t="shared" si="55"/>
        <v>35.672884128602732</v>
      </c>
      <c r="DL18" s="135">
        <f t="shared" si="26"/>
        <v>372.19733256067923</v>
      </c>
      <c r="DM18" s="244">
        <f>'Mite Immigration'!C26</f>
        <v>15</v>
      </c>
      <c r="DN18" s="137">
        <f t="shared" si="56"/>
        <v>-25.924423069954258</v>
      </c>
      <c r="DO18" s="98">
        <f t="shared" si="64"/>
        <v>-10.924423069954258</v>
      </c>
      <c r="DP18" s="265">
        <f t="shared" si="27"/>
        <v>361.27290949072494</v>
      </c>
      <c r="DQ18" s="392">
        <f>EY$32</f>
        <v>0</v>
      </c>
      <c r="DR18" s="135">
        <f t="shared" si="57"/>
        <v>0</v>
      </c>
      <c r="DS18" s="95">
        <f t="shared" si="28"/>
        <v>361.27290949072494</v>
      </c>
      <c r="DT18" s="29">
        <f t="shared" si="29"/>
        <v>1.6593103155688394E-2</v>
      </c>
      <c r="DU18" s="271">
        <f t="shared" si="30"/>
        <v>40756</v>
      </c>
      <c r="DV18" s="89">
        <f t="shared" si="31"/>
        <v>124.17026466674693</v>
      </c>
      <c r="DW18" s="29">
        <f t="shared" si="32"/>
        <v>2.4834052933349385E-3</v>
      </c>
      <c r="DX18" s="145">
        <f t="shared" si="33"/>
        <v>0.78227266740050561</v>
      </c>
      <c r="DY18" t="str">
        <f t="shared" si="65"/>
        <v/>
      </c>
      <c r="DZ18" t="str">
        <f t="shared" si="66"/>
        <v/>
      </c>
      <c r="EB18">
        <f t="shared" si="68"/>
        <v>0</v>
      </c>
      <c r="EC18" s="17">
        <f t="shared" si="58"/>
        <v>15398.4375</v>
      </c>
      <c r="ED18" s="18">
        <f t="shared" si="59"/>
        <v>-2000</v>
      </c>
      <c r="EE18" s="264">
        <f t="shared" si="60"/>
        <v>17398.4375</v>
      </c>
      <c r="EF18" s="264">
        <f t="shared" si="67"/>
        <v>1144.0068493150684</v>
      </c>
      <c r="EG18" s="104">
        <f t="shared" si="61"/>
        <v>0.6</v>
      </c>
      <c r="EH18" s="263">
        <f t="shared" si="62"/>
        <v>25.924423069954258</v>
      </c>
      <c r="EJ18" s="17">
        <f t="shared" si="63"/>
        <v>127.17197737527252</v>
      </c>
      <c r="EK18" s="164">
        <f>EY$57</f>
        <v>97.628891278014834</v>
      </c>
      <c r="EL18" s="37">
        <f>EX$59</f>
        <v>0.21901463631588036</v>
      </c>
      <c r="EP18" s="2">
        <v>40756</v>
      </c>
      <c r="EQ18" s="259">
        <v>43132</v>
      </c>
      <c r="ES18" s="249">
        <v>0.56000000000000005</v>
      </c>
      <c r="EU18" s="18"/>
      <c r="EV18" s="18"/>
    </row>
    <row r="19" spans="1:164" ht="12.75" customHeight="1" x14ac:dyDescent="0.4">
      <c r="A19" s="54"/>
      <c r="B19" s="400"/>
      <c r="AD19" s="480"/>
      <c r="AE19" s="485">
        <f t="shared" si="34"/>
        <v>40770</v>
      </c>
      <c r="AF19" s="382"/>
      <c r="BA19" s="405">
        <f t="shared" si="35"/>
        <v>40770</v>
      </c>
      <c r="BB19" s="59">
        <f t="shared" si="0"/>
        <v>361.27290949072494</v>
      </c>
      <c r="BC19" s="301">
        <f t="shared" si="36"/>
        <v>1.5420051039256213E-2</v>
      </c>
      <c r="BD19" s="233">
        <f t="shared" si="1"/>
        <v>30</v>
      </c>
      <c r="BE19" s="123">
        <f t="shared" si="37"/>
        <v>1.2187182260789127</v>
      </c>
      <c r="BF19" s="4">
        <f t="shared" si="2"/>
        <v>1.6456355421394897E-2</v>
      </c>
      <c r="BG19" s="3">
        <f t="shared" si="3"/>
        <v>0.42836832187730856</v>
      </c>
      <c r="BH19" s="499" t="s">
        <v>5</v>
      </c>
      <c r="BI19" s="496" t="s">
        <v>144</v>
      </c>
      <c r="BJ19" s="496"/>
      <c r="BK19" s="496"/>
      <c r="BL19" s="496"/>
      <c r="BM19" s="496"/>
      <c r="BP19" s="271">
        <f t="shared" si="38"/>
        <v>40770</v>
      </c>
      <c r="BQ19" s="456">
        <f>IF($BA$31="d",'Colony Type'!H46,IF($BA$31="n",'Colony Type'!H74,IF($BA$31="p",'Colony Type'!H102,IF($BA$31="a",'Colony Type'!H130,IF($BA$31="b",'Colony Type'!H158,IF($BA$31="c",'Colony Type'!H186,IF($BA$31="r",'Colony Type'!H214,IF($BA$31="s",'Colony Type'!H242,IF($BA$31="f",'Colony Type'!H270,"error")))))))))</f>
        <v>20</v>
      </c>
      <c r="BR19">
        <f t="shared" si="4"/>
        <v>40000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0.45</v>
      </c>
      <c r="BV19">
        <f t="shared" si="39"/>
        <v>10800</v>
      </c>
      <c r="BW19" s="18">
        <f t="shared" si="40"/>
        <v>177.72863855106488</v>
      </c>
      <c r="BX19" s="18">
        <f t="shared" si="7"/>
        <v>900</v>
      </c>
      <c r="BY19" s="141">
        <f t="shared" si="41"/>
        <v>8.9925384810888573</v>
      </c>
      <c r="BZ19" s="27">
        <f t="shared" si="8"/>
        <v>20.992538481088857</v>
      </c>
      <c r="CA19" s="32">
        <f t="shared" si="9"/>
        <v>0.42836832187730856</v>
      </c>
      <c r="CB19" s="130">
        <f t="shared" si="10"/>
        <v>0.57163167812269144</v>
      </c>
      <c r="CC19" s="28">
        <f t="shared" si="11"/>
        <v>206.51503951245033</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9.1461068499630635E-2</v>
      </c>
      <c r="CI19" s="72">
        <f t="shared" si="13"/>
        <v>33.042406321992054</v>
      </c>
      <c r="CJ19" s="73">
        <f t="shared" si="45"/>
        <v>9.5608814589097368E-2</v>
      </c>
      <c r="CK19" s="356">
        <f t="shared" si="46"/>
        <v>9.1180536543494228E-2</v>
      </c>
      <c r="CL19" s="357">
        <f t="shared" si="47"/>
        <v>1.0485660450516301</v>
      </c>
      <c r="CM19" s="73">
        <f t="shared" si="14"/>
        <v>23.992538481088857</v>
      </c>
      <c r="CN19" s="355">
        <v>1</v>
      </c>
      <c r="CO19" s="84">
        <f t="shared" si="15"/>
        <v>4.2749999999999995</v>
      </c>
      <c r="CP19" s="78">
        <f t="shared" si="48"/>
        <v>9.8493837450082944E-2</v>
      </c>
      <c r="CQ19" s="103">
        <f t="shared" si="49"/>
        <v>0.4801706096230608</v>
      </c>
      <c r="CR19" s="71">
        <f t="shared" si="50"/>
        <v>10454.4</v>
      </c>
      <c r="CS19" s="71">
        <f t="shared" si="16"/>
        <v>173.47263319045828</v>
      </c>
      <c r="CT19" s="74">
        <f t="shared" si="17"/>
        <v>1.6593265341909462E-2</v>
      </c>
      <c r="CU19" s="353">
        <f t="shared" si="51"/>
        <v>1.6456355421394897E-2</v>
      </c>
      <c r="CV19" s="355">
        <f t="shared" si="52"/>
        <v>1.0082583086428258</v>
      </c>
      <c r="CW19" s="76">
        <f t="shared" si="18"/>
        <v>0.84</v>
      </c>
      <c r="CX19" s="74">
        <f t="shared" si="19"/>
        <v>20.992538481088857</v>
      </c>
      <c r="CY19" s="354">
        <v>1</v>
      </c>
      <c r="CZ19" s="83">
        <f t="shared" si="53"/>
        <v>2.2586249999999999</v>
      </c>
      <c r="DA19" s="79">
        <f t="shared" si="20"/>
        <v>6.518049768398862E-2</v>
      </c>
      <c r="DB19" s="112">
        <f t="shared" si="21"/>
        <v>4.0306110922268837E-2</v>
      </c>
      <c r="DC19" s="55">
        <f t="shared" si="22"/>
        <v>-6.0180723255630212E-3</v>
      </c>
      <c r="DD19" s="133">
        <f t="shared" si="23"/>
        <v>3.4288038596705817E-2</v>
      </c>
      <c r="DE19" s="466">
        <f t="shared" si="54"/>
        <v>167.07675155205888</v>
      </c>
      <c r="DF19" s="377">
        <f t="shared" si="69"/>
        <v>361.27290949072494</v>
      </c>
      <c r="DG19" s="240">
        <f t="shared" si="24"/>
        <v>252.89103664350745</v>
      </c>
      <c r="DH19" s="240">
        <f t="shared" si="70"/>
        <v>197.50419822548369</v>
      </c>
      <c r="DJ19" s="17">
        <f t="shared" si="25"/>
        <v>528.34966104278385</v>
      </c>
      <c r="DK19" s="266">
        <f t="shared" si="55"/>
        <v>46.210180264581822</v>
      </c>
      <c r="DL19" s="135">
        <f t="shared" si="26"/>
        <v>482.13948077820203</v>
      </c>
      <c r="DM19" s="244">
        <f>'Mite Immigration'!C27</f>
        <v>30</v>
      </c>
      <c r="DN19" s="137">
        <f t="shared" si="56"/>
        <v>-55.384577241404628</v>
      </c>
      <c r="DO19" s="98">
        <f t="shared" si="64"/>
        <v>-25.384577241404628</v>
      </c>
      <c r="DP19" s="265">
        <f t="shared" si="27"/>
        <v>456.75490353679743</v>
      </c>
      <c r="DQ19" s="392">
        <f>EZ$32</f>
        <v>0</v>
      </c>
      <c r="DR19" s="135">
        <f t="shared" si="57"/>
        <v>0</v>
      </c>
      <c r="DS19" s="95">
        <f t="shared" si="28"/>
        <v>456.75490353679743</v>
      </c>
      <c r="DT19" s="29">
        <f t="shared" si="29"/>
        <v>1.5420051039256213E-2</v>
      </c>
      <c r="DU19" s="271">
        <f t="shared" si="30"/>
        <v>40770</v>
      </c>
      <c r="DV19" s="89">
        <f t="shared" si="31"/>
        <v>154.75786997827461</v>
      </c>
      <c r="DW19" s="29">
        <f t="shared" si="32"/>
        <v>3.8689467494568653E-3</v>
      </c>
      <c r="DX19" s="145">
        <f t="shared" si="33"/>
        <v>1.2187182260789127</v>
      </c>
      <c r="DY19" t="str">
        <f t="shared" si="65"/>
        <v/>
      </c>
      <c r="DZ19" t="str">
        <f t="shared" si="66"/>
        <v/>
      </c>
      <c r="EB19">
        <f t="shared" si="68"/>
        <v>0</v>
      </c>
      <c r="EC19" s="17">
        <f t="shared" si="58"/>
        <v>13858.59375</v>
      </c>
      <c r="ED19" s="18">
        <f t="shared" si="59"/>
        <v>-10000</v>
      </c>
      <c r="EE19" s="264">
        <f t="shared" si="60"/>
        <v>23858.59375</v>
      </c>
      <c r="EF19" s="264">
        <f t="shared" si="67"/>
        <v>1568.7842465753424</v>
      </c>
      <c r="EG19" s="104">
        <f t="shared" si="61"/>
        <v>0.6</v>
      </c>
      <c r="EH19" s="263">
        <f t="shared" si="62"/>
        <v>55.384577241404628</v>
      </c>
      <c r="EJ19" s="17">
        <f t="shared" si="63"/>
        <v>167.07675155205888</v>
      </c>
      <c r="EK19" s="164">
        <f>EZ$57</f>
        <v>118.59559779375206</v>
      </c>
      <c r="EL19" s="37">
        <f>EY$59</f>
        <v>0.21480785965445287</v>
      </c>
      <c r="EN19" s="37"/>
      <c r="EP19" s="2">
        <v>40770</v>
      </c>
      <c r="EQ19" s="259">
        <v>43146</v>
      </c>
      <c r="ET19">
        <v>13.23</v>
      </c>
      <c r="EU19" s="18"/>
      <c r="EV19" s="18"/>
    </row>
    <row r="20" spans="1:164" ht="12.75" customHeight="1" x14ac:dyDescent="0.4">
      <c r="A20" s="54"/>
      <c r="B20" s="575" t="s">
        <v>352</v>
      </c>
      <c r="C20" s="576"/>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4"/>
      <c r="AB20" s="611"/>
      <c r="AC20" s="611"/>
      <c r="AD20" s="480"/>
      <c r="AE20" s="485">
        <f t="shared" si="34"/>
        <v>40787</v>
      </c>
      <c r="AF20" s="382"/>
      <c r="BA20" s="405">
        <f t="shared" si="35"/>
        <v>40787</v>
      </c>
      <c r="BB20" s="59">
        <f t="shared" si="0"/>
        <v>456.75490353679743</v>
      </c>
      <c r="BC20" s="301">
        <f t="shared" si="36"/>
        <v>1.3213962970211128E-2</v>
      </c>
      <c r="BD20" s="233">
        <f t="shared" si="1"/>
        <v>40</v>
      </c>
      <c r="BE20" s="123">
        <f t="shared" si="37"/>
        <v>2.0362907164960804</v>
      </c>
      <c r="BF20" s="4">
        <f t="shared" si="2"/>
        <v>2.7287424910203195E-2</v>
      </c>
      <c r="BG20" s="3">
        <f t="shared" si="3"/>
        <v>0.39628172098980846</v>
      </c>
      <c r="BH20" s="498"/>
      <c r="BI20" s="496"/>
      <c r="BJ20" s="496"/>
      <c r="BK20" s="496"/>
      <c r="BL20" s="496"/>
      <c r="BM20" s="496"/>
      <c r="BP20" s="271">
        <f t="shared" si="38"/>
        <v>40787</v>
      </c>
      <c r="BQ20" s="456">
        <f>IF($BA$31="d",'Colony Type'!H47,IF($BA$31="n",'Colony Type'!H75,IF($BA$31="p",'Colony Type'!H103,IF($BA$31="a",'Colony Type'!H131,IF($BA$31="b",'Colony Type'!H159,IF($BA$31="c",'Colony Type'!H187,IF($BA$31="r",'Colony Type'!H215,IF($BA$31="s",'Colony Type'!H243,IF($BA$31="f",'Colony Type'!H271,"error")))))))))</f>
        <v>14</v>
      </c>
      <c r="BR20">
        <f t="shared" si="4"/>
        <v>28000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0.5625</v>
      </c>
      <c r="BV20">
        <f t="shared" si="39"/>
        <v>9450</v>
      </c>
      <c r="BW20" s="18">
        <f t="shared" si="40"/>
        <v>257.86616540142018</v>
      </c>
      <c r="BX20" s="18">
        <f t="shared" si="7"/>
        <v>787.5</v>
      </c>
      <c r="BY20" s="141">
        <f t="shared" si="41"/>
        <v>7.8768207245178088</v>
      </c>
      <c r="BZ20" s="27">
        <f t="shared" si="8"/>
        <v>19.87682072451781</v>
      </c>
      <c r="CA20" s="32">
        <f t="shared" si="9"/>
        <v>0.39628172098980846</v>
      </c>
      <c r="CB20" s="130">
        <f t="shared" si="10"/>
        <v>0.60371827901019159</v>
      </c>
      <c r="CC20" s="28">
        <f t="shared" si="11"/>
        <v>275.75128429270143</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3.8637969856652264E-2</v>
      </c>
      <c r="CI20" s="72">
        <f t="shared" si="13"/>
        <v>17.648082194732893</v>
      </c>
      <c r="CJ20" s="73">
        <f t="shared" si="45"/>
        <v>0.14590015041941876</v>
      </c>
      <c r="CK20" s="356">
        <f t="shared" si="46"/>
        <v>0.1357560067231951</v>
      </c>
      <c r="CL20" s="357">
        <f t="shared" si="47"/>
        <v>1.0747233506721177</v>
      </c>
      <c r="CM20" s="73">
        <f t="shared" si="14"/>
        <v>22.87682072451781</v>
      </c>
      <c r="CN20" s="355">
        <v>1</v>
      </c>
      <c r="CO20" s="84">
        <f t="shared" si="15"/>
        <v>4.2749999999999995</v>
      </c>
      <c r="CP20" s="78">
        <f t="shared" si="48"/>
        <v>9.8493837450082944E-2</v>
      </c>
      <c r="CQ20" s="103">
        <f t="shared" si="49"/>
        <v>0.56508030915353935</v>
      </c>
      <c r="CR20" s="71">
        <f t="shared" si="50"/>
        <v>9329.0399999999991</v>
      </c>
      <c r="CS20" s="71">
        <f t="shared" si="16"/>
        <v>258.10320209796851</v>
      </c>
      <c r="CT20" s="74">
        <f t="shared" si="17"/>
        <v>2.7666641165432729E-2</v>
      </c>
      <c r="CU20" s="353">
        <f t="shared" si="51"/>
        <v>2.7287424910203195E-2</v>
      </c>
      <c r="CV20" s="355">
        <f t="shared" si="52"/>
        <v>1.013859951846767</v>
      </c>
      <c r="CW20" s="76">
        <f t="shared" si="18"/>
        <v>0.93599999999999994</v>
      </c>
      <c r="CX20" s="74">
        <f t="shared" si="19"/>
        <v>19.87682072451781</v>
      </c>
      <c r="CY20" s="354">
        <v>1</v>
      </c>
      <c r="CZ20" s="83">
        <f t="shared" si="53"/>
        <v>2.2586249999999999</v>
      </c>
      <c r="DA20" s="79">
        <f t="shared" si="20"/>
        <v>6.518049768398862E-2</v>
      </c>
      <c r="DB20" s="112">
        <f t="shared" si="21"/>
        <v>4.0637817704512157E-2</v>
      </c>
      <c r="DC20" s="55">
        <f t="shared" si="22"/>
        <v>-6.0180723255630212E-3</v>
      </c>
      <c r="DD20" s="133">
        <f t="shared" si="23"/>
        <v>3.4619745378949136E-2</v>
      </c>
      <c r="DE20" s="466">
        <f t="shared" si="54"/>
        <v>214.7155475483176</v>
      </c>
      <c r="DF20" s="377">
        <f t="shared" si="69"/>
        <v>456.75490353679743</v>
      </c>
      <c r="DG20" s="240">
        <f t="shared" si="24"/>
        <v>319.72843247575815</v>
      </c>
      <c r="DH20" s="240">
        <f t="shared" si="70"/>
        <v>251.04825222496726</v>
      </c>
      <c r="DJ20" s="17">
        <f t="shared" si="25"/>
        <v>671.47045108511497</v>
      </c>
      <c r="DK20" s="266">
        <f t="shared" si="55"/>
        <v>58.727719301916295</v>
      </c>
      <c r="DL20" s="135">
        <f t="shared" si="26"/>
        <v>612.74273178319868</v>
      </c>
      <c r="DM20" s="244">
        <f>'Mite Immigration'!C28</f>
        <v>40</v>
      </c>
      <c r="DN20" s="137">
        <f t="shared" si="56"/>
        <v>-94.323894974836293</v>
      </c>
      <c r="DO20" s="98">
        <f t="shared" si="64"/>
        <v>-54.323894974836293</v>
      </c>
      <c r="DP20" s="265">
        <f t="shared" si="27"/>
        <v>558.41883680836236</v>
      </c>
      <c r="DQ20" s="392">
        <f>FA$32</f>
        <v>0</v>
      </c>
      <c r="DR20" s="135">
        <f t="shared" si="57"/>
        <v>0</v>
      </c>
      <c r="DS20" s="95">
        <f t="shared" si="28"/>
        <v>558.41883680836236</v>
      </c>
      <c r="DT20" s="29">
        <f t="shared" si="29"/>
        <v>1.3213962970211128E-2</v>
      </c>
      <c r="DU20" s="271">
        <f t="shared" si="30"/>
        <v>40787</v>
      </c>
      <c r="DV20" s="89">
        <f t="shared" si="31"/>
        <v>181.00361924409603</v>
      </c>
      <c r="DW20" s="29">
        <f t="shared" si="32"/>
        <v>6.4644149730034295E-3</v>
      </c>
      <c r="DX20" s="145">
        <f t="shared" si="33"/>
        <v>2.0362907164960804</v>
      </c>
      <c r="DY20" t="str">
        <f t="shared" si="65"/>
        <v/>
      </c>
      <c r="DZ20" t="str">
        <f t="shared" si="66"/>
        <v/>
      </c>
      <c r="EB20">
        <f t="shared" si="68"/>
        <v>0</v>
      </c>
      <c r="EC20" s="17">
        <f t="shared" si="58"/>
        <v>12318.75</v>
      </c>
      <c r="ED20" s="18">
        <f t="shared" si="59"/>
        <v>-12000</v>
      </c>
      <c r="EE20" s="264">
        <f t="shared" si="60"/>
        <v>24318.75</v>
      </c>
      <c r="EF20" s="264">
        <f t="shared" si="67"/>
        <v>1599.0410958904108</v>
      </c>
      <c r="EG20" s="104">
        <f t="shared" si="61"/>
        <v>0.6</v>
      </c>
      <c r="EH20" s="263">
        <f t="shared" si="62"/>
        <v>94.323894974836293</v>
      </c>
      <c r="EJ20" s="17">
        <f t="shared" si="63"/>
        <v>214.7155475483176</v>
      </c>
      <c r="EK20" s="164">
        <f>FA$57</f>
        <v>150.93892028769014</v>
      </c>
      <c r="EL20" s="37">
        <f>EZ$59</f>
        <v>0.20365337864288938</v>
      </c>
      <c r="EP20" s="2">
        <v>40787</v>
      </c>
      <c r="EQ20" s="259">
        <v>43160</v>
      </c>
      <c r="EU20" s="18"/>
      <c r="EV20" s="18"/>
    </row>
    <row r="21" spans="1:164" ht="12.75" customHeight="1" x14ac:dyDescent="0.4">
      <c r="A21" s="54"/>
      <c r="B21" s="402" t="s">
        <v>346</v>
      </c>
      <c r="C21" s="407" t="s">
        <v>373</v>
      </c>
      <c r="D21" s="577" t="str">
        <f>IF($C$21="d",'Colony Type'!B30,IF($C$21="b",'Colony Type'!B142,IF($C$21="c",'Colony Type'!B170,IF($C$21="r",'Colony Type'!B198,IF($C$21="s",'Colony Type'!B226,IF($C$21="f",'Colony Type'!B254,"error"))))))</f>
        <v>B: High latitude colony--short summer, long winter brood break</v>
      </c>
      <c r="E21" s="578"/>
      <c r="F21" s="578"/>
      <c r="G21" s="578"/>
      <c r="H21" s="578"/>
      <c r="I21" s="578"/>
      <c r="J21" s="578"/>
      <c r="K21" s="578"/>
      <c r="L21" s="578"/>
      <c r="M21" s="578"/>
      <c r="N21" s="578"/>
      <c r="O21" s="578"/>
      <c r="P21" s="578"/>
      <c r="Q21" s="578"/>
      <c r="R21" s="578"/>
      <c r="S21" s="578"/>
      <c r="T21" s="578"/>
      <c r="U21" s="578"/>
      <c r="V21" s="578"/>
      <c r="W21" s="578"/>
      <c r="X21" s="578"/>
      <c r="Y21" s="578"/>
      <c r="Z21" s="578"/>
      <c r="AA21" s="579"/>
      <c r="AB21" s="581" t="s">
        <v>351</v>
      </c>
      <c r="AC21" s="581"/>
      <c r="AD21" s="480"/>
      <c r="AE21" s="485">
        <f t="shared" si="34"/>
        <v>40801</v>
      </c>
      <c r="BA21" s="405">
        <f t="shared" si="35"/>
        <v>40801</v>
      </c>
      <c r="BB21" s="59">
        <f t="shared" si="0"/>
        <v>558.41883680836236</v>
      </c>
      <c r="BC21" s="301">
        <f t="shared" si="36"/>
        <v>1.6780822218580276E-2</v>
      </c>
      <c r="BD21" s="233">
        <f t="shared" si="1"/>
        <v>50</v>
      </c>
      <c r="BE21" s="123">
        <f t="shared" si="37"/>
        <v>2.9044467070965263</v>
      </c>
      <c r="BF21" s="4">
        <f t="shared" si="2"/>
        <v>3.8693602304217367E-2</v>
      </c>
      <c r="BG21" s="3">
        <f t="shared" si="3"/>
        <v>0.39628172098980846</v>
      </c>
      <c r="BH21" s="520" t="s">
        <v>319</v>
      </c>
      <c r="BI21" s="496" t="s">
        <v>156</v>
      </c>
      <c r="BJ21" s="496"/>
      <c r="BK21" s="496"/>
      <c r="BL21" s="496"/>
      <c r="BM21" s="496"/>
      <c r="BP21" s="271">
        <f t="shared" si="38"/>
        <v>40801</v>
      </c>
      <c r="BQ21" s="456">
        <f>IF($BA$31="d",'Colony Type'!H48,IF($BA$31="n",'Colony Type'!H76,IF($BA$31="p",'Colony Type'!H104,IF($BA$31="a",'Colony Type'!H132,IF($BA$31="b",'Colony Type'!H160,IF($BA$31="c",'Colony Type'!H188,IF($BA$31="r",'Colony Type'!H216,IF($BA$31="s",'Colony Type'!H244,IF($BA$31="f",'Colony Type'!H272,"error")))))))))</f>
        <v>12</v>
      </c>
      <c r="BR21">
        <f t="shared" si="4"/>
        <v>24000</v>
      </c>
      <c r="BS21" s="81">
        <f>IF($BA$31="d",'Colony Type'!F48,IF($BA$31="n",'Colony Type'!F76,IF($BA$31="p",'Colony Type'!F104,IF($BA$31="a",'Colony Type'!F132,IF($BA$31="b",'Colony Type'!F160,IF($BA$31="c",'Colony Type'!F188,IF($BA$31="r",'Colony Type'!F216,IF($BA$31="s",'Colony Type'!F244,IF($BA$31="f",'Colony Type'!F272,"error")))))))))</f>
        <v>3</v>
      </c>
      <c r="BT21" s="17">
        <f t="shared" si="5"/>
        <v>13500</v>
      </c>
      <c r="BU21" s="21">
        <f t="shared" si="6"/>
        <v>0.5625</v>
      </c>
      <c r="BV21">
        <f t="shared" si="39"/>
        <v>8100</v>
      </c>
      <c r="BW21" s="18">
        <f t="shared" si="40"/>
        <v>313.41817866416068</v>
      </c>
      <c r="BX21" s="18">
        <f t="shared" si="7"/>
        <v>675</v>
      </c>
      <c r="BY21" s="141">
        <f t="shared" si="41"/>
        <v>7.8768207245178088</v>
      </c>
      <c r="BZ21" s="27">
        <f t="shared" si="8"/>
        <v>19.87682072451781</v>
      </c>
      <c r="CA21" s="32">
        <f t="shared" si="9"/>
        <v>0.39628172098980846</v>
      </c>
      <c r="CB21" s="130">
        <f t="shared" si="10"/>
        <v>0.60371827901019159</v>
      </c>
      <c r="CC21" s="28">
        <f t="shared" si="11"/>
        <v>337.12765912481757</v>
      </c>
      <c r="CD21" s="255">
        <f t="shared" si="12"/>
        <v>8100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21.576170183988324</v>
      </c>
      <c r="CJ21" s="73">
        <f t="shared" si="45"/>
        <v>0.2081034932869244</v>
      </c>
      <c r="CK21" s="356">
        <f t="shared" si="46"/>
        <v>0.18787701691438541</v>
      </c>
      <c r="CL21" s="357">
        <f t="shared" si="47"/>
        <v>1.1076580664560802</v>
      </c>
      <c r="CM21" s="73">
        <f t="shared" si="14"/>
        <v>22.87682072451781</v>
      </c>
      <c r="CN21" s="355">
        <v>1</v>
      </c>
      <c r="CO21" s="84">
        <f t="shared" si="15"/>
        <v>4.2749999999999995</v>
      </c>
      <c r="CP21" s="78">
        <f t="shared" si="48"/>
        <v>9.8493837450082944E-2</v>
      </c>
      <c r="CQ21" s="103">
        <f t="shared" si="49"/>
        <v>0.56508030915353935</v>
      </c>
      <c r="CR21" s="71">
        <f t="shared" si="50"/>
        <v>7996.32</v>
      </c>
      <c r="CS21" s="71">
        <f t="shared" si="16"/>
        <v>315.55148894082924</v>
      </c>
      <c r="CT21" s="74">
        <f t="shared" si="17"/>
        <v>3.9462088678395721E-2</v>
      </c>
      <c r="CU21" s="353">
        <f t="shared" si="51"/>
        <v>3.8693602304217367E-2</v>
      </c>
      <c r="CV21" s="355">
        <f t="shared" si="52"/>
        <v>1.0198344556727672</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6">
        <f t="shared" si="54"/>
        <v>266.23584822784903</v>
      </c>
      <c r="DF21" s="377">
        <f t="shared" si="69"/>
        <v>558.41883680836236</v>
      </c>
      <c r="DG21" s="240">
        <f t="shared" si="24"/>
        <v>390.89318576585362</v>
      </c>
      <c r="DH21" s="240">
        <f t="shared" si="70"/>
        <v>311.28646779615497</v>
      </c>
      <c r="DJ21" s="17">
        <f t="shared" si="25"/>
        <v>824.65468503621139</v>
      </c>
      <c r="DK21" s="266">
        <f t="shared" si="55"/>
        <v>72.125420836542276</v>
      </c>
      <c r="DL21" s="135">
        <f t="shared" si="26"/>
        <v>752.52926419966911</v>
      </c>
      <c r="DM21" s="244">
        <f>'Mite Immigration'!C29</f>
        <v>50</v>
      </c>
      <c r="DN21" s="137">
        <f t="shared" si="56"/>
        <v>-81.761039223430032</v>
      </c>
      <c r="DO21" s="98">
        <f t="shared" si="64"/>
        <v>-31.761039223430032</v>
      </c>
      <c r="DP21" s="265">
        <f t="shared" si="27"/>
        <v>720.76822497623903</v>
      </c>
      <c r="DQ21" s="392">
        <f>FB$32</f>
        <v>0</v>
      </c>
      <c r="DR21" s="135">
        <f t="shared" si="57"/>
        <v>0</v>
      </c>
      <c r="DS21" s="95">
        <f t="shared" si="28"/>
        <v>720.76822497623903</v>
      </c>
      <c r="DT21" s="29">
        <f t="shared" si="29"/>
        <v>1.6780822218580276E-2</v>
      </c>
      <c r="DU21" s="271">
        <f t="shared" si="30"/>
        <v>40801</v>
      </c>
      <c r="DV21" s="89">
        <f t="shared" si="31"/>
        <v>221.29117768354484</v>
      </c>
      <c r="DW21" s="29">
        <f t="shared" si="32"/>
        <v>9.2204657368143688E-3</v>
      </c>
      <c r="DX21" s="145">
        <f t="shared" si="33"/>
        <v>2.9044467070965263</v>
      </c>
      <c r="DY21" t="str">
        <f t="shared" si="65"/>
        <v/>
      </c>
      <c r="DZ21" t="str">
        <f t="shared" si="66"/>
        <v/>
      </c>
      <c r="EB21">
        <f t="shared" si="68"/>
        <v>0</v>
      </c>
      <c r="EC21" s="17">
        <f t="shared" si="58"/>
        <v>10778.90625</v>
      </c>
      <c r="ED21" s="18">
        <f t="shared" si="59"/>
        <v>-4000</v>
      </c>
      <c r="EE21" s="264">
        <f t="shared" si="60"/>
        <v>14778.90625</v>
      </c>
      <c r="EF21" s="264">
        <f t="shared" si="67"/>
        <v>971.7636986301369</v>
      </c>
      <c r="EG21" s="104">
        <f t="shared" si="61"/>
        <v>0.6</v>
      </c>
      <c r="EH21" s="263">
        <f t="shared" si="62"/>
        <v>81.761039223430032</v>
      </c>
      <c r="EJ21" s="17">
        <f t="shared" si="63"/>
        <v>266.23584822784903</v>
      </c>
      <c r="EK21" s="164">
        <f>FB$57</f>
        <v>183.61447946207937</v>
      </c>
      <c r="EL21" s="37">
        <f>FA$59</f>
        <v>0.20211685207912333</v>
      </c>
      <c r="EP21" s="2">
        <v>40801</v>
      </c>
      <c r="EQ21" s="259">
        <v>43174</v>
      </c>
      <c r="ET21">
        <v>19.53</v>
      </c>
      <c r="EU21" s="18"/>
      <c r="EV21" s="18"/>
    </row>
    <row r="22" spans="1:164" ht="12.65" customHeight="1" x14ac:dyDescent="0.4">
      <c r="B22" s="395" t="s">
        <v>345</v>
      </c>
      <c r="C22" s="401">
        <v>100</v>
      </c>
      <c r="D22" s="413">
        <f>BB5</f>
        <v>92.660083310629844</v>
      </c>
      <c r="E22" s="413">
        <f>IF('Brood break'!$BB6=0,"",'Brood break'!$BB5)</f>
        <v>92.660083310629844</v>
      </c>
      <c r="F22" s="413">
        <f>IF('Brood break'!$BB7=0,"",'Brood break'!$BB5)</f>
        <v>92.660083310629844</v>
      </c>
      <c r="G22" s="413">
        <f>IF('Brood break'!$BB8=0,"",'Brood break'!$BB5)</f>
        <v>92.660083310629844</v>
      </c>
      <c r="H22" s="413">
        <f>IF('Brood break'!$BB9=0,"",'Brood break'!$BB5)</f>
        <v>92.660083310629844</v>
      </c>
      <c r="I22" s="413">
        <f>BB10</f>
        <v>97.748270936739701</v>
      </c>
      <c r="J22" s="413">
        <f>'Brood break'!BB11</f>
        <v>85.79619554269081</v>
      </c>
      <c r="K22" s="413">
        <f>'Brood break'!BB12</f>
        <v>76.521914181502552</v>
      </c>
      <c r="L22" s="413">
        <f>'Brood break'!BB13</f>
        <v>100.1340448315154</v>
      </c>
      <c r="M22" s="413">
        <f>'Brood break'!BB14</f>
        <v>120.73188009519274</v>
      </c>
      <c r="N22" s="413">
        <f>'Brood break'!BB15</f>
        <v>148.83809559182916</v>
      </c>
      <c r="O22" s="413">
        <f>'Brood break'!BB16</f>
        <v>189.0329117428538</v>
      </c>
      <c r="P22" s="413">
        <f>'Brood break'!BB17</f>
        <v>224.62336380308716</v>
      </c>
      <c r="Q22" s="413">
        <f>'Brood break'!BB18</f>
        <v>280.69823931400947</v>
      </c>
      <c r="R22" s="413">
        <f>'Brood break'!BB19</f>
        <v>361.27290949072494</v>
      </c>
      <c r="S22" s="413">
        <f>'Brood break'!BB20</f>
        <v>456.75490353679743</v>
      </c>
      <c r="T22" s="413">
        <f>'Brood break'!BB21</f>
        <v>558.41883680836236</v>
      </c>
      <c r="U22" s="413">
        <f>'Brood break'!BB22</f>
        <v>720.76822497623903</v>
      </c>
      <c r="V22" s="413">
        <f>'Brood break'!BB23</f>
        <v>732.7279811166386</v>
      </c>
      <c r="W22" s="413">
        <f>'Brood break'!BB24</f>
        <v>631.75938718236534</v>
      </c>
      <c r="X22" s="413" t="str">
        <f>'Brood break'!BB25</f>
        <v/>
      </c>
      <c r="Y22" s="413" t="str">
        <f>'Brood break'!BB26</f>
        <v/>
      </c>
      <c r="Z22" s="413" t="str">
        <f>'Brood break'!BB27</f>
        <v/>
      </c>
      <c r="AA22" s="414" t="str">
        <f>'Brood break'!BB28</f>
        <v/>
      </c>
      <c r="AB22" s="581"/>
      <c r="AC22" s="581"/>
      <c r="AD22" s="480"/>
      <c r="AE22" s="485">
        <f t="shared" si="34"/>
        <v>40817</v>
      </c>
      <c r="AF22" s="291"/>
      <c r="BA22" s="405">
        <f t="shared" si="35"/>
        <v>40817</v>
      </c>
      <c r="BB22" s="59">
        <f t="shared" si="0"/>
        <v>720.76822497623903</v>
      </c>
      <c r="BC22" s="301">
        <f t="shared" si="36"/>
        <v>1.0820980050558827E-3</v>
      </c>
      <c r="BD22" s="233">
        <f t="shared" si="1"/>
        <v>30</v>
      </c>
      <c r="BE22" s="123">
        <f t="shared" si="37"/>
        <v>6.4736743772938992</v>
      </c>
      <c r="BF22" s="4">
        <f t="shared" si="2"/>
        <v>0.20501973256412331</v>
      </c>
      <c r="BG22" s="3">
        <f t="shared" si="3"/>
        <v>0.57026229840201237</v>
      </c>
      <c r="BH22" s="520"/>
      <c r="BI22" s="496"/>
      <c r="BJ22" s="496"/>
      <c r="BK22" s="496"/>
      <c r="BL22" s="496"/>
      <c r="BM22" s="496"/>
      <c r="BP22" s="271">
        <f t="shared" si="38"/>
        <v>40817</v>
      </c>
      <c r="BQ22" s="456">
        <f>IF($BA$31="d",'Colony Type'!H49,IF($BA$31="n",'Colony Type'!H77,IF($BA$31="p",'Colony Type'!H105,IF($BA$31="a",'Colony Type'!H133,IF($BA$31="b",'Colony Type'!H161,IF($BA$31="c",'Colony Type'!H189,IF($BA$31="r",'Colony Type'!H217,IF($BA$31="s",'Colony Type'!H245,IF($BA$31="f",'Colony Type'!H273,"error")))))))))</f>
        <v>10</v>
      </c>
      <c r="BR22">
        <f t="shared" si="4"/>
        <v>20000</v>
      </c>
      <c r="BS22" s="81">
        <f>IF($BA$31="d",'Colony Type'!F49,IF($BA$31="n",'Colony Type'!F77,IF($BA$31="p",'Colony Type'!F105,IF($BA$31="a",'Colony Type'!F133,IF($BA$31="b",'Colony Type'!F161,IF($BA$31="c",'Colony Type'!F189,IF($BA$31="r",'Colony Type'!F217,IF($BA$31="s",'Colony Type'!F245,IF($BA$31="f",'Colony Type'!F273,"error")))))))))</f>
        <v>0.5</v>
      </c>
      <c r="BT22" s="17">
        <f t="shared" si="5"/>
        <v>2250</v>
      </c>
      <c r="BU22" s="21">
        <f t="shared" si="6"/>
        <v>0.1125</v>
      </c>
      <c r="BV22">
        <f t="shared" si="39"/>
        <v>1350</v>
      </c>
      <c r="BW22" s="18">
        <f t="shared" si="40"/>
        <v>276.77663896156645</v>
      </c>
      <c r="BX22" s="18">
        <f t="shared" si="7"/>
        <v>112.5</v>
      </c>
      <c r="BY22" s="141">
        <f t="shared" si="41"/>
        <v>15.924010286688311</v>
      </c>
      <c r="BZ22" s="27">
        <f t="shared" si="8"/>
        <v>27.924010286688311</v>
      </c>
      <c r="CA22" s="32">
        <f t="shared" si="9"/>
        <v>0.57026229840201237</v>
      </c>
      <c r="CB22" s="130">
        <f t="shared" si="10"/>
        <v>0.42973770159798763</v>
      </c>
      <c r="CC22" s="28">
        <f t="shared" si="11"/>
        <v>309.74128038615021</v>
      </c>
      <c r="CD22" s="255">
        <f t="shared" si="12"/>
        <v>1350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30.924010286688311</v>
      </c>
      <c r="CN22" s="355">
        <v>1</v>
      </c>
      <c r="CO22" s="84">
        <f t="shared" si="15"/>
        <v>4.2749999999999995</v>
      </c>
      <c r="CP22" s="78">
        <f t="shared" si="48"/>
        <v>9.8493837450082944E-2</v>
      </c>
      <c r="CQ22" s="103">
        <f t="shared" si="49"/>
        <v>0.42973770159798763</v>
      </c>
      <c r="CR22" s="71">
        <f t="shared" si="50"/>
        <v>1350</v>
      </c>
      <c r="CS22" s="71">
        <f t="shared" si="16"/>
        <v>309.74128038615021</v>
      </c>
      <c r="CT22" s="74">
        <f t="shared" si="17"/>
        <v>0.22943798547122238</v>
      </c>
      <c r="CU22" s="353">
        <f t="shared" si="51"/>
        <v>0.20501973256412331</v>
      </c>
      <c r="CV22" s="355">
        <f t="shared" si="52"/>
        <v>1.1190965060056168</v>
      </c>
      <c r="CW22" s="76">
        <f t="shared" si="18"/>
        <v>1</v>
      </c>
      <c r="CX22" s="74">
        <f t="shared" si="19"/>
        <v>27.924010286688311</v>
      </c>
      <c r="CY22" s="354">
        <v>1</v>
      </c>
      <c r="CZ22" s="83">
        <f t="shared" si="53"/>
        <v>2.2586249999999999</v>
      </c>
      <c r="DA22" s="79">
        <f t="shared" si="20"/>
        <v>6.518049768398862E-2</v>
      </c>
      <c r="DB22" s="112">
        <f t="shared" si="21"/>
        <v>2.8010517263730224E-2</v>
      </c>
      <c r="DC22" s="55">
        <f t="shared" si="22"/>
        <v>-5.0125418235442863E-3</v>
      </c>
      <c r="DD22" s="133">
        <f t="shared" si="23"/>
        <v>2.2997975440185937E-2</v>
      </c>
      <c r="DE22" s="466">
        <f t="shared" si="54"/>
        <v>213.80499407855297</v>
      </c>
      <c r="DF22" s="377">
        <f t="shared" si="69"/>
        <v>720.76822497623903</v>
      </c>
      <c r="DG22" s="240">
        <f t="shared" si="24"/>
        <v>504.53775748336727</v>
      </c>
      <c r="DH22" s="240">
        <f t="shared" si="70"/>
        <v>402.56217418576892</v>
      </c>
      <c r="DJ22" s="17">
        <f t="shared" si="25"/>
        <v>934.57321905479193</v>
      </c>
      <c r="DK22" s="266">
        <f t="shared" si="55"/>
        <v>68.596895679786599</v>
      </c>
      <c r="DL22" s="135">
        <f t="shared" si="26"/>
        <v>865.97632337500534</v>
      </c>
      <c r="DM22" s="244">
        <f>'Mite Immigration'!C30</f>
        <v>30</v>
      </c>
      <c r="DN22" s="137">
        <f t="shared" si="56"/>
        <v>-163.24834225836668</v>
      </c>
      <c r="DO22" s="98">
        <f t="shared" si="64"/>
        <v>-133.24834225836668</v>
      </c>
      <c r="DP22" s="265">
        <f t="shared" si="27"/>
        <v>732.7279811166386</v>
      </c>
      <c r="DQ22" s="392">
        <f>FC$32</f>
        <v>0</v>
      </c>
      <c r="DR22" s="135">
        <f t="shared" si="57"/>
        <v>0</v>
      </c>
      <c r="DS22" s="95">
        <f t="shared" si="28"/>
        <v>732.7279811166386</v>
      </c>
      <c r="DT22" s="29">
        <f t="shared" si="29"/>
        <v>1.0820980050558827E-3</v>
      </c>
      <c r="DU22" s="271">
        <f t="shared" si="30"/>
        <v>40817</v>
      </c>
      <c r="DV22" s="89">
        <f t="shared" si="31"/>
        <v>411.02694459008882</v>
      </c>
      <c r="DW22" s="29">
        <f t="shared" si="32"/>
        <v>2.0551347229504441E-2</v>
      </c>
      <c r="DX22" s="145">
        <f t="shared" si="33"/>
        <v>6.4736743772938992</v>
      </c>
      <c r="DY22" t="str">
        <f t="shared" si="65"/>
        <v/>
      </c>
      <c r="DZ22" t="str">
        <f t="shared" si="66"/>
        <v/>
      </c>
      <c r="EB22">
        <f t="shared" si="68"/>
        <v>0</v>
      </c>
      <c r="EC22" s="17">
        <f t="shared" si="58"/>
        <v>9239.0625</v>
      </c>
      <c r="ED22" s="18">
        <f t="shared" si="59"/>
        <v>-4000</v>
      </c>
      <c r="EE22" s="264">
        <f t="shared" si="60"/>
        <v>13239.0625</v>
      </c>
      <c r="EF22" s="264">
        <f t="shared" si="67"/>
        <v>870.5136986301369</v>
      </c>
      <c r="EG22" s="104">
        <f t="shared" si="61"/>
        <v>0.6</v>
      </c>
      <c r="EH22" s="263">
        <f t="shared" si="62"/>
        <v>163.24834225836668</v>
      </c>
      <c r="EJ22" s="17">
        <f t="shared" si="63"/>
        <v>213.80499407855297</v>
      </c>
      <c r="EK22" s="164">
        <f>FC$57</f>
        <v>228.11736105441079</v>
      </c>
      <c r="EL22" s="37">
        <f>FB$59</f>
        <v>0.19357061592410207</v>
      </c>
      <c r="EP22" s="2">
        <v>40817</v>
      </c>
      <c r="EQ22" s="259">
        <v>43191</v>
      </c>
      <c r="EU22" s="18"/>
      <c r="EV22" s="18"/>
      <c r="FB22" s="18">
        <f>AA20</f>
        <v>0</v>
      </c>
    </row>
    <row r="23" spans="1:164" ht="12.65" customHeight="1" x14ac:dyDescent="0.4">
      <c r="B23" s="408" t="s">
        <v>347</v>
      </c>
      <c r="C23" s="409">
        <v>0</v>
      </c>
      <c r="D23" s="410">
        <f>'Brood break'!BD5</f>
        <v>0</v>
      </c>
      <c r="E23" s="410">
        <f>'Brood break'!BD6</f>
        <v>0</v>
      </c>
      <c r="F23" s="410">
        <f>'Brood break'!BD7</f>
        <v>0</v>
      </c>
      <c r="G23" s="410">
        <f>'Brood break'!BD8</f>
        <v>0</v>
      </c>
      <c r="H23" s="410">
        <f>'Brood break'!BD9</f>
        <v>0</v>
      </c>
      <c r="I23" s="410">
        <f>'Brood break'!BD10</f>
        <v>0</v>
      </c>
      <c r="J23" s="410">
        <f>'Brood break'!BD11</f>
        <v>0</v>
      </c>
      <c r="K23" s="410">
        <f>'Brood break'!BD12</f>
        <v>0</v>
      </c>
      <c r="L23" s="410">
        <f>'Brood break'!BD13</f>
        <v>0</v>
      </c>
      <c r="M23" s="410">
        <f>'Brood break'!BD14</f>
        <v>2</v>
      </c>
      <c r="N23" s="410">
        <f>'Brood break'!BD15</f>
        <v>3</v>
      </c>
      <c r="O23" s="410">
        <f>'Brood break'!BD16</f>
        <v>5</v>
      </c>
      <c r="P23" s="410">
        <f>'Brood break'!BD17</f>
        <v>10</v>
      </c>
      <c r="Q23" s="410">
        <f>'Brood break'!BD18</f>
        <v>15</v>
      </c>
      <c r="R23" s="410">
        <f>'Brood break'!BD19</f>
        <v>30</v>
      </c>
      <c r="S23" s="410">
        <f>'Brood break'!BD20</f>
        <v>40</v>
      </c>
      <c r="T23" s="410">
        <f>'Brood break'!BD21</f>
        <v>50</v>
      </c>
      <c r="U23" s="410">
        <f>'Brood break'!BD22</f>
        <v>30</v>
      </c>
      <c r="V23" s="410">
        <f>'Brood break'!BD23</f>
        <v>10</v>
      </c>
      <c r="W23" s="410">
        <f>'Brood break'!BD24</f>
        <v>5</v>
      </c>
      <c r="X23" s="410" t="str">
        <f>'Brood break'!BD25</f>
        <v/>
      </c>
      <c r="Y23" s="410" t="str">
        <f>'Brood break'!BD26</f>
        <v/>
      </c>
      <c r="Z23" s="424">
        <f>SUM(D23:Y23)</f>
        <v>200</v>
      </c>
      <c r="AA23" s="425" t="s">
        <v>361</v>
      </c>
      <c r="AB23" s="581"/>
      <c r="AC23" s="581"/>
      <c r="AD23" s="480"/>
      <c r="AE23" s="485">
        <f t="shared" si="34"/>
        <v>40831</v>
      </c>
      <c r="AF23" s="291"/>
      <c r="BA23" s="405">
        <f t="shared" si="35"/>
        <v>40831</v>
      </c>
      <c r="BB23" s="59">
        <f t="shared" si="0"/>
        <v>732.7279811166386</v>
      </c>
      <c r="BC23" s="301">
        <f t="shared" si="36"/>
        <v>-9.7489922836597655E-3</v>
      </c>
      <c r="BD23" s="233">
        <f t="shared" si="1"/>
        <v>10</v>
      </c>
      <c r="BE23" s="123">
        <f t="shared" si="37"/>
        <v>8.4814928750228678</v>
      </c>
      <c r="BF23" s="4">
        <f t="shared" si="2"/>
        <v>0.60099542275825235</v>
      </c>
      <c r="BG23" s="3">
        <f t="shared" si="3"/>
        <v>0.6614415556739095</v>
      </c>
      <c r="BH23" s="499" t="s">
        <v>342</v>
      </c>
      <c r="BI23" s="543" t="s">
        <v>343</v>
      </c>
      <c r="BJ23" s="544"/>
      <c r="BK23" s="544"/>
      <c r="BL23" s="544"/>
      <c r="BM23" s="545"/>
      <c r="BP23" s="271">
        <f t="shared" si="38"/>
        <v>40831</v>
      </c>
      <c r="BQ23" s="456">
        <f>IF($BA$31="d",'Colony Type'!H50,IF($BA$31="n",'Colony Type'!H78,IF($BA$31="p",'Colony Type'!H106,IF($BA$31="a",'Colony Type'!H134,IF($BA$31="b",'Colony Type'!H162,IF($BA$31="c",'Colony Type'!H190,IF($BA$31="r",'Colony Type'!H218,IF($BA$31="s",'Colony Type'!H246,IF($BA$31="f",'Colony Type'!H274,"error")))))))))</f>
        <v>9</v>
      </c>
      <c r="BR23">
        <f t="shared" si="4"/>
        <v>18000</v>
      </c>
      <c r="BS23" s="81">
        <f>IF($BA$31="d",'Colony Type'!F50,IF($BA$31="n",'Colony Type'!F78,IF($BA$31="p",'Colony Type'!F106,IF($BA$31="a",'Colony Type'!F134,IF($BA$31="b",'Colony Type'!F162,IF($BA$31="c",'Colony Type'!F190,IF($BA$31="r",'Colony Type'!F218,IF($BA$31="s",'Colony Type'!F246,IF($BA$31="f",'Colony Type'!F274,"error")))))))))</f>
        <v>0.1</v>
      </c>
      <c r="BT23" s="17">
        <f t="shared" si="5"/>
        <v>450</v>
      </c>
      <c r="BU23" s="21">
        <f t="shared" si="6"/>
        <v>2.5000000000000001E-2</v>
      </c>
      <c r="BV23">
        <f t="shared" si="39"/>
        <v>270</v>
      </c>
      <c r="BW23" s="18">
        <f t="shared" si="40"/>
        <v>162.26876414472812</v>
      </c>
      <c r="BX23" s="18">
        <f t="shared" si="7"/>
        <v>22.5</v>
      </c>
      <c r="BY23" s="141">
        <f t="shared" si="41"/>
        <v>23.444397270569681</v>
      </c>
      <c r="BZ23" s="27">
        <f t="shared" si="8"/>
        <v>35.444397270569681</v>
      </c>
      <c r="CA23" s="32">
        <f t="shared" si="9"/>
        <v>0.6614415556739095</v>
      </c>
      <c r="CB23" s="130">
        <f t="shared" si="10"/>
        <v>0.3385584443260905</v>
      </c>
      <c r="CC23" s="28">
        <f t="shared" si="11"/>
        <v>248.07124540104618</v>
      </c>
      <c r="CD23" s="255">
        <f t="shared" si="12"/>
        <v>270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38.444397270569681</v>
      </c>
      <c r="CN23" s="355">
        <v>1</v>
      </c>
      <c r="CO23" s="84">
        <f t="shared" si="15"/>
        <v>4.2749999999999995</v>
      </c>
      <c r="CP23" s="78">
        <f t="shared" si="48"/>
        <v>9.8493837450082944E-2</v>
      </c>
      <c r="CQ23" s="103">
        <f t="shared" si="49"/>
        <v>0.3385584443260905</v>
      </c>
      <c r="CR23" s="71">
        <f t="shared" si="50"/>
        <v>270</v>
      </c>
      <c r="CS23" s="71">
        <f t="shared" si="16"/>
        <v>248.07124540104618</v>
      </c>
      <c r="CT23" s="74">
        <f t="shared" si="17"/>
        <v>0.91878239037424514</v>
      </c>
      <c r="CU23" s="353">
        <f t="shared" si="51"/>
        <v>0.60099542275825235</v>
      </c>
      <c r="CV23" s="355">
        <f t="shared" si="52"/>
        <v>1.5287651566335869</v>
      </c>
      <c r="CW23" s="76">
        <f t="shared" si="18"/>
        <v>1</v>
      </c>
      <c r="CX23" s="74">
        <f t="shared" si="19"/>
        <v>35.444397270569681</v>
      </c>
      <c r="CY23" s="354">
        <v>1</v>
      </c>
      <c r="CZ23" s="83">
        <f t="shared" si="53"/>
        <v>2.2586249999999999</v>
      </c>
      <c r="DA23" s="79">
        <f t="shared" si="20"/>
        <v>0</v>
      </c>
      <c r="DB23" s="112">
        <f t="shared" si="21"/>
        <v>0</v>
      </c>
      <c r="DC23" s="55">
        <f t="shared" si="22"/>
        <v>-5.0125418235442863E-3</v>
      </c>
      <c r="DD23" s="133">
        <f t="shared" si="23"/>
        <v>-5.0125418235442863E-3</v>
      </c>
      <c r="DE23" s="466">
        <f t="shared" si="54"/>
        <v>0</v>
      </c>
      <c r="DF23" s="377">
        <f t="shared" si="69"/>
        <v>732.7279811166386</v>
      </c>
      <c r="DG23" s="240">
        <f t="shared" si="24"/>
        <v>512.90958678164702</v>
      </c>
      <c r="DH23" s="240">
        <f t="shared" si="70"/>
        <v>413.62536215494691</v>
      </c>
      <c r="DJ23" s="17">
        <f t="shared" si="25"/>
        <v>732.7279811166386</v>
      </c>
      <c r="DK23" s="266">
        <f t="shared" si="55"/>
        <v>53.781623373665184</v>
      </c>
      <c r="DL23" s="135">
        <f t="shared" si="26"/>
        <v>678.94635774297342</v>
      </c>
      <c r="DM23" s="244">
        <f>'Mite Immigration'!C31</f>
        <v>10</v>
      </c>
      <c r="DN23" s="137">
        <f t="shared" si="56"/>
        <v>-57.186970560608053</v>
      </c>
      <c r="DO23" s="98">
        <f t="shared" si="64"/>
        <v>-47.186970560608053</v>
      </c>
      <c r="DP23" s="265">
        <f t="shared" si="27"/>
        <v>631.75938718236534</v>
      </c>
      <c r="DQ23" s="392">
        <f>FD$32</f>
        <v>0</v>
      </c>
      <c r="DR23" s="135">
        <f t="shared" si="57"/>
        <v>0</v>
      </c>
      <c r="DS23" s="95">
        <f t="shared" si="28"/>
        <v>631.75938718236534</v>
      </c>
      <c r="DT23" s="29">
        <f t="shared" si="29"/>
        <v>-9.7489922836597655E-3</v>
      </c>
      <c r="DU23" s="271">
        <f t="shared" si="30"/>
        <v>40831</v>
      </c>
      <c r="DV23" s="89">
        <f t="shared" si="31"/>
        <v>484.65673571559245</v>
      </c>
      <c r="DW23" s="29">
        <f t="shared" si="32"/>
        <v>2.6925374206421802E-2</v>
      </c>
      <c r="DX23" s="145">
        <f t="shared" si="33"/>
        <v>8.4814928750228678</v>
      </c>
      <c r="DY23" t="str">
        <f t="shared" si="65"/>
        <v/>
      </c>
      <c r="DZ23" t="str">
        <f t="shared" si="66"/>
        <v/>
      </c>
      <c r="EB23">
        <f t="shared" si="68"/>
        <v>0</v>
      </c>
      <c r="EC23" s="17">
        <f t="shared" si="58"/>
        <v>1539.84375</v>
      </c>
      <c r="ED23" s="18">
        <f t="shared" si="59"/>
        <v>-2000</v>
      </c>
      <c r="EE23" s="264">
        <f t="shared" si="60"/>
        <v>3539.84375</v>
      </c>
      <c r="EF23" s="264">
        <f t="shared" si="67"/>
        <v>232.75684931506848</v>
      </c>
      <c r="EG23" s="104">
        <f t="shared" si="61"/>
        <v>0.6</v>
      </c>
      <c r="EH23" s="263">
        <f t="shared" si="62"/>
        <v>57.186970560608053</v>
      </c>
      <c r="EJ23" s="17">
        <f t="shared" si="63"/>
        <v>0</v>
      </c>
      <c r="EK23" s="164">
        <f>FD$57</f>
        <v>289.40565916801262</v>
      </c>
      <c r="EL23" s="37">
        <f>FC$59</f>
        <v>0.21112322023787122</v>
      </c>
      <c r="EP23" s="2">
        <v>40831</v>
      </c>
      <c r="EQ23" s="259">
        <v>43205</v>
      </c>
      <c r="ET23">
        <v>25.83</v>
      </c>
      <c r="EU23" s="18"/>
      <c r="EV23" s="18"/>
    </row>
    <row r="24" spans="1:164" ht="12.75" customHeight="1" x14ac:dyDescent="0.4">
      <c r="B24" s="349" t="s">
        <v>94</v>
      </c>
      <c r="C24" s="415">
        <f>1-'Brood break'!BG4</f>
        <v>0.30709911469777329</v>
      </c>
      <c r="D24" s="415">
        <f>1-'Brood break'!BG5</f>
        <v>0</v>
      </c>
      <c r="E24" s="415">
        <f>1-'Brood break'!BG6</f>
        <v>0</v>
      </c>
      <c r="F24" s="415">
        <f>1-'Brood break'!BG7</f>
        <v>0.30709911469777329</v>
      </c>
      <c r="G24" s="415">
        <f>1-'Brood break'!BG8</f>
        <v>0</v>
      </c>
      <c r="H24" s="415">
        <f>1-'Brood break'!BG9</f>
        <v>0.47300180271247205</v>
      </c>
      <c r="I24" s="415">
        <f>1-'Brood break'!BG10</f>
        <v>0.54784148420074841</v>
      </c>
      <c r="J24" s="415">
        <f>1-'Brood break'!BG11</f>
        <v>0.8659910150039587</v>
      </c>
      <c r="K24" s="415">
        <f>1-'Brood break'!BG12</f>
        <v>0.81473454824975156</v>
      </c>
      <c r="L24" s="415">
        <f>1-'Brood break'!BG13</f>
        <v>0.73121308739562751</v>
      </c>
      <c r="M24" s="415">
        <f>1-'Brood break'!BG14</f>
        <v>0.68466566827566644</v>
      </c>
      <c r="N24" s="415">
        <f>1-'Brood break'!BG15</f>
        <v>0.65081532324296698</v>
      </c>
      <c r="O24" s="415">
        <f>1-'Brood break'!BG16</f>
        <v>0.59180252123775623</v>
      </c>
      <c r="P24" s="415">
        <f>1-'Brood break'!BG17</f>
        <v>0.56634115454232203</v>
      </c>
      <c r="Q24" s="415">
        <f>1-'Brood break'!BG18</f>
        <v>0.55763789267006758</v>
      </c>
      <c r="R24" s="415">
        <f>1-'Brood break'!BG19</f>
        <v>0.57163167812269144</v>
      </c>
      <c r="S24" s="415">
        <f>1-'Brood break'!BG20</f>
        <v>0.60371827901019159</v>
      </c>
      <c r="T24" s="415">
        <f>1-'Brood break'!BG21</f>
        <v>0.60371827901019159</v>
      </c>
      <c r="U24" s="415">
        <f>1-'Brood break'!BG22</f>
        <v>0.42973770159798763</v>
      </c>
      <c r="V24" s="415">
        <f>1-'Brood break'!BG23</f>
        <v>0.3385584443260905</v>
      </c>
      <c r="W24" s="415">
        <f>1-'Brood break'!BG24</f>
        <v>0</v>
      </c>
      <c r="X24" s="415" t="e">
        <f>1-'Brood break'!BG25</f>
        <v>#VALUE!</v>
      </c>
      <c r="Y24" s="415" t="e">
        <f>1-'Brood break'!BG26</f>
        <v>#VALUE!</v>
      </c>
      <c r="Z24" s="415" t="e">
        <f>1-'Brood break'!BG27</f>
        <v>#VALUE!</v>
      </c>
      <c r="AA24" s="416" t="e">
        <f>1-'Brood break'!BG28</f>
        <v>#VALUE!</v>
      </c>
      <c r="AB24" s="581"/>
      <c r="AC24" s="581"/>
      <c r="AD24" s="481"/>
      <c r="AE24" s="485">
        <f t="shared" si="34"/>
        <v>40848</v>
      </c>
      <c r="AF24" s="291"/>
      <c r="AG24" s="566" t="s">
        <v>207</v>
      </c>
      <c r="AH24" s="566"/>
      <c r="AI24" s="566"/>
      <c r="AJ24" s="566"/>
      <c r="AK24" s="566"/>
      <c r="AL24" s="566"/>
      <c r="AM24" s="566"/>
      <c r="AN24" s="566"/>
      <c r="AO24" s="566"/>
      <c r="AP24" s="566"/>
      <c r="AQ24" s="566"/>
      <c r="AR24" s="566"/>
      <c r="AS24" s="566"/>
      <c r="AT24" s="566"/>
      <c r="AU24" s="566"/>
      <c r="AV24" s="567"/>
      <c r="AW24" s="612">
        <f>LN(BB21/BB11)/(BA21-BA11)</f>
        <v>1.2242709933999899E-2</v>
      </c>
      <c r="AX24" s="613"/>
      <c r="BA24" s="405">
        <f t="shared" si="35"/>
        <v>40848</v>
      </c>
      <c r="BB24" s="59">
        <f t="shared" si="0"/>
        <v>631.75938718236534</v>
      </c>
      <c r="BC24" s="301">
        <f t="shared" si="36"/>
        <v>-1.0843676988335493E-2</v>
      </c>
      <c r="BD24" s="233">
        <f t="shared" si="1"/>
        <v>5</v>
      </c>
      <c r="BE24" s="123">
        <f t="shared" si="37"/>
        <v>12.437762935152818</v>
      </c>
      <c r="BF24" s="4" t="str">
        <f t="shared" si="2"/>
        <v>n/a</v>
      </c>
      <c r="BG24" s="3">
        <f t="shared" si="3"/>
        <v>1</v>
      </c>
      <c r="BH24" s="498"/>
      <c r="BI24" s="546"/>
      <c r="BJ24" s="547"/>
      <c r="BK24" s="547"/>
      <c r="BL24" s="547"/>
      <c r="BM24" s="548"/>
      <c r="BP24" s="271">
        <f t="shared" si="38"/>
        <v>40848</v>
      </c>
      <c r="BQ24" s="456">
        <f>IF($BA$31="d",'Colony Type'!H51,IF($BA$31="n",'Colony Type'!H79,IF($BA$31="p",'Colony Type'!H107,IF($BA$31="a",'Colony Type'!H135,IF($BA$31="b",'Colony Type'!H163,IF($BA$31="c",'Colony Type'!H191,IF($BA$31="r",'Colony Type'!H219,IF($BA$31="s",'Colony Type'!H247,IF($BA$31="f",'Colony Type'!H275,"error")))))))))</f>
        <v>8</v>
      </c>
      <c r="BR24">
        <f t="shared" si="4"/>
        <v>16000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6.2500000000000001E-5</v>
      </c>
      <c r="BV24">
        <f t="shared" si="39"/>
        <v>0.6</v>
      </c>
      <c r="BW24" s="18">
        <f t="shared" si="40"/>
        <v>0</v>
      </c>
      <c r="BX24" s="18">
        <f t="shared" si="7"/>
        <v>0.05</v>
      </c>
      <c r="BY24" s="141">
        <f t="shared" si="41"/>
        <v>53.401720006109592</v>
      </c>
      <c r="BZ24" s="27">
        <f t="shared" si="8"/>
        <v>65.401720006109599</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68.401720006109599</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65.401720006109599</v>
      </c>
      <c r="CY24" s="354">
        <v>1</v>
      </c>
      <c r="CZ24" s="83">
        <f t="shared" si="53"/>
        <v>2.2586249999999999</v>
      </c>
      <c r="DA24" s="79">
        <f t="shared" si="20"/>
        <v>0</v>
      </c>
      <c r="DB24" s="112">
        <f t="shared" si="21"/>
        <v>0</v>
      </c>
      <c r="DC24" s="55">
        <f t="shared" si="22"/>
        <v>-5.0125418235442863E-3</v>
      </c>
      <c r="DD24" s="133">
        <f t="shared" si="23"/>
        <v>-5.0125418235442863E-3</v>
      </c>
      <c r="DE24" s="466">
        <f t="shared" si="54"/>
        <v>0</v>
      </c>
      <c r="DF24" s="377">
        <f t="shared" si="69"/>
        <v>631.75938718236534</v>
      </c>
      <c r="DG24" s="240">
        <f t="shared" si="24"/>
        <v>442.23157102765572</v>
      </c>
      <c r="DH24" s="240">
        <f t="shared" si="70"/>
        <v>348.86621766144418</v>
      </c>
      <c r="DJ24" s="17">
        <f t="shared" si="25"/>
        <v>631.75938718236534</v>
      </c>
      <c r="DK24" s="266">
        <f t="shared" si="55"/>
        <v>46.37061269646108</v>
      </c>
      <c r="DL24" s="135">
        <f t="shared" si="26"/>
        <v>585.38877448590426</v>
      </c>
      <c r="DM24" s="244">
        <f>'Mite Immigration'!C32</f>
        <v>5</v>
      </c>
      <c r="DN24" s="137">
        <f t="shared" si="56"/>
        <v>-54.678034617601867</v>
      </c>
      <c r="DO24" s="98">
        <f t="shared" si="64"/>
        <v>-49.678034617601867</v>
      </c>
      <c r="DP24" s="265">
        <f t="shared" si="27"/>
        <v>535.71073986830243</v>
      </c>
      <c r="DQ24" s="392">
        <f>FE$32</f>
        <v>0</v>
      </c>
      <c r="DR24" s="135">
        <f t="shared" si="57"/>
        <v>0</v>
      </c>
      <c r="DS24" s="95">
        <f t="shared" si="28"/>
        <v>535.71073986830243</v>
      </c>
      <c r="DT24" s="29">
        <f t="shared" si="29"/>
        <v>-1.0843676988335493E-2</v>
      </c>
      <c r="DU24" s="271">
        <f t="shared" si="30"/>
        <v>40848</v>
      </c>
      <c r="DV24" s="89">
        <f t="shared" si="31"/>
        <v>631.75938718236534</v>
      </c>
      <c r="DW24" s="29">
        <f t="shared" si="32"/>
        <v>3.9484961698897834E-2</v>
      </c>
      <c r="DX24" s="145">
        <f t="shared" si="33"/>
        <v>12.437762935152818</v>
      </c>
      <c r="DY24" t="str">
        <f t="shared" si="65"/>
        <v/>
      </c>
      <c r="DZ24" t="str">
        <f t="shared" si="66"/>
        <v/>
      </c>
      <c r="EA24">
        <f>IF(DX$21&gt;60,100,0)</f>
        <v>0</v>
      </c>
      <c r="EB24">
        <f t="shared" si="68"/>
        <v>0</v>
      </c>
      <c r="EC24" s="17">
        <f t="shared" si="58"/>
        <v>307.96875</v>
      </c>
      <c r="ED24" s="18">
        <f t="shared" si="59"/>
        <v>-2000</v>
      </c>
      <c r="EE24" s="264">
        <f t="shared" si="60"/>
        <v>2307.96875</v>
      </c>
      <c r="EF24" s="264">
        <f t="shared" si="67"/>
        <v>151.75684931506848</v>
      </c>
      <c r="EG24" s="104">
        <f t="shared" si="61"/>
        <v>0.6</v>
      </c>
      <c r="EH24" s="263">
        <f t="shared" si="62"/>
        <v>54.678034617601867</v>
      </c>
      <c r="EJ24" s="17">
        <f t="shared" si="63"/>
        <v>0</v>
      </c>
      <c r="EK24" s="164">
        <f>FE$57</f>
        <v>370.81370659933111</v>
      </c>
      <c r="EL24" s="37">
        <f>FD$59</f>
        <v>0.29314933675408483</v>
      </c>
      <c r="EP24" s="2">
        <v>40848</v>
      </c>
      <c r="EQ24" s="259">
        <v>43221</v>
      </c>
      <c r="EU24" s="18"/>
      <c r="EV24" s="18"/>
    </row>
    <row r="25" spans="1:164" ht="13" customHeight="1" x14ac:dyDescent="0.4">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80"/>
      <c r="AE25" s="485">
        <f t="shared" si="34"/>
        <v>40862</v>
      </c>
      <c r="AF25" s="291"/>
      <c r="AG25" s="569" t="s">
        <v>203</v>
      </c>
      <c r="AH25" s="569"/>
      <c r="AI25" s="569"/>
      <c r="AJ25" s="569"/>
      <c r="AK25" s="569"/>
      <c r="AL25" s="569"/>
      <c r="AM25" s="569"/>
      <c r="AN25" s="569"/>
      <c r="AO25" s="569"/>
      <c r="AP25" s="569"/>
      <c r="AQ25" s="569"/>
      <c r="AR25" s="569"/>
      <c r="AS25" s="569"/>
      <c r="AT25" s="569"/>
      <c r="AU25" s="569"/>
      <c r="AV25" s="570"/>
      <c r="AW25" s="614" t="s">
        <v>146</v>
      </c>
      <c r="AX25" s="615"/>
      <c r="BA25" s="405">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6">
        <f>IF($BA$31="d",'Colony Type'!H52,IF($BA$31="n",'Colony Type'!H80,IF($BA$31="p",'Colony Type'!H108,IF($BA$31="a",'Colony Type'!H136,IF($BA$31="b",'Colony Type'!H164,IF($BA$31="c",'Colony Type'!H192,IF($BA$31="r",'Colony Type'!H220,IF($BA$31="s",'Colony Type'!H248,IF($BA$31="f",'Colony Type'!H276,"error")))))))))</f>
        <v>8</v>
      </c>
      <c r="BR25">
        <f t="shared" si="4"/>
        <v>16000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6.2500000000000001E-5</v>
      </c>
      <c r="BV25">
        <f t="shared" si="39"/>
        <v>0.6</v>
      </c>
      <c r="BW25" s="18">
        <f t="shared" si="40"/>
        <v>0</v>
      </c>
      <c r="BX25" s="18">
        <f t="shared" si="7"/>
        <v>0.05</v>
      </c>
      <c r="BY25" s="141">
        <f t="shared" si="41"/>
        <v>53.401720006109592</v>
      </c>
      <c r="BZ25" s="27">
        <f t="shared" si="8"/>
        <v>65.401720006109599</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68.401720006109599</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65.401720006109599</v>
      </c>
      <c r="CY25" s="354">
        <v>1</v>
      </c>
      <c r="CZ25" s="83">
        <f t="shared" si="53"/>
        <v>2.2586249999999999</v>
      </c>
      <c r="DA25" s="79">
        <f t="shared" si="20"/>
        <v>0</v>
      </c>
      <c r="DB25" s="112">
        <f t="shared" si="21"/>
        <v>0</v>
      </c>
      <c r="DC25" s="55">
        <f t="shared" si="22"/>
        <v>-5.0125418235442863E-3</v>
      </c>
      <c r="DD25" s="133">
        <f t="shared" si="23"/>
        <v>-5.0125418235442863E-3</v>
      </c>
      <c r="DE25" s="466">
        <f t="shared" si="54"/>
        <v>0</v>
      </c>
      <c r="DF25" s="377">
        <f t="shared" si="69"/>
        <v>535.71073986830243</v>
      </c>
      <c r="DG25" s="240">
        <f t="shared" si="24"/>
        <v>374.9975179078117</v>
      </c>
      <c r="DH25" s="240">
        <f t="shared" si="70"/>
        <v>265.06724424870868</v>
      </c>
      <c r="DJ25" s="17">
        <f t="shared" si="25"/>
        <v>535.71073986830243</v>
      </c>
      <c r="DK25" s="266">
        <f t="shared" si="55"/>
        <v>39.320722002341881</v>
      </c>
      <c r="DL25" s="135">
        <f t="shared" si="26"/>
        <v>496.39001786596054</v>
      </c>
      <c r="DM25" s="244">
        <f>'Mite Immigration'!C33</f>
        <v>0</v>
      </c>
      <c r="DN25" s="137">
        <f t="shared" si="56"/>
        <v>-1.3748513909901354E-2</v>
      </c>
      <c r="DO25" s="98">
        <f t="shared" si="64"/>
        <v>-1.3748513909901354E-2</v>
      </c>
      <c r="DP25" s="265">
        <f t="shared" si="27"/>
        <v>496.37626935205066</v>
      </c>
      <c r="DQ25" s="392">
        <f>FF$32</f>
        <v>0</v>
      </c>
      <c r="DR25" s="135">
        <f t="shared" si="57"/>
        <v>0</v>
      </c>
      <c r="DS25" s="95">
        <f t="shared" si="28"/>
        <v>496.37626935205066</v>
      </c>
      <c r="DT25" s="29">
        <f t="shared" si="29"/>
        <v>-5.0143630213130286E-3</v>
      </c>
      <c r="DU25" s="271">
        <f t="shared" si="30"/>
        <v>40862</v>
      </c>
      <c r="DV25" s="89">
        <f t="shared" si="31"/>
        <v>535.71073986830243</v>
      </c>
      <c r="DW25" s="29">
        <f t="shared" si="32"/>
        <v>3.3481921241768901E-2</v>
      </c>
      <c r="DX25" s="145">
        <f t="shared" si="33"/>
        <v>10.546805191157205</v>
      </c>
      <c r="DY25">
        <f t="shared" si="65"/>
        <v>100</v>
      </c>
      <c r="DZ25" t="str">
        <f t="shared" si="66"/>
        <v/>
      </c>
      <c r="EA25">
        <f>IF(DX$21&gt;60,100,0)</f>
        <v>0</v>
      </c>
      <c r="EB25">
        <f t="shared" si="68"/>
        <v>100</v>
      </c>
      <c r="EC25" s="17">
        <f t="shared" si="58"/>
        <v>0.68437499999999996</v>
      </c>
      <c r="ED25" s="18">
        <f t="shared" si="59"/>
        <v>0</v>
      </c>
      <c r="EE25" s="264">
        <f t="shared" si="60"/>
        <v>0.68437499999999996</v>
      </c>
      <c r="EF25" s="264">
        <f t="shared" si="67"/>
        <v>4.4999999999999998E-2</v>
      </c>
      <c r="EG25" s="104">
        <f t="shared" si="61"/>
        <v>0.6</v>
      </c>
      <c r="EH25" s="263">
        <f t="shared" si="62"/>
        <v>1.3748513909901354E-2</v>
      </c>
      <c r="EJ25" s="17">
        <f t="shared" si="63"/>
        <v>0</v>
      </c>
      <c r="EK25" s="164">
        <f>FF$57</f>
        <v>475.52958670528341</v>
      </c>
      <c r="EL25" s="37">
        <f>FE$59</f>
        <v>0.41109473015030484</v>
      </c>
      <c r="EP25" s="2">
        <v>40862</v>
      </c>
      <c r="EQ25" s="259">
        <v>43235</v>
      </c>
      <c r="ET25">
        <v>17.954999999999998</v>
      </c>
      <c r="EU25" s="18"/>
      <c r="EV25" s="18"/>
    </row>
    <row r="26" spans="1:164" ht="13" customHeight="1" x14ac:dyDescent="0.4">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80"/>
      <c r="AE26" s="485">
        <f t="shared" si="34"/>
        <v>40878</v>
      </c>
      <c r="AF26" s="417"/>
      <c r="AG26" s="6"/>
      <c r="AU26" s="457"/>
      <c r="BA26" s="405">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6">
        <f>IF($BA$31="d",'Colony Type'!H53,IF($BA$31="n",'Colony Type'!H81,IF($BA$31="p",'Colony Type'!H109,IF($BA$31="a",'Colony Type'!H137,IF($BA$31="b",'Colony Type'!H165,IF($BA$31="c",'Colony Type'!H193,IF($BA$31="r",'Colony Type'!H221,IF($BA$31="s",'Colony Type'!H249,IF($BA$31="f",'Colony Type'!H277,"error")))))))))</f>
        <v>8</v>
      </c>
      <c r="BR26">
        <f t="shared" si="4"/>
        <v>16000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6.2500000000000001E-5</v>
      </c>
      <c r="BV26">
        <f t="shared" si="39"/>
        <v>0.6</v>
      </c>
      <c r="BW26" s="18">
        <f t="shared" si="40"/>
        <v>0</v>
      </c>
      <c r="BX26" s="18">
        <f t="shared" si="7"/>
        <v>0.05</v>
      </c>
      <c r="BY26" s="141">
        <f t="shared" si="41"/>
        <v>53.401720006109592</v>
      </c>
      <c r="BZ26" s="27">
        <f t="shared" si="8"/>
        <v>65.401720006109599</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68.401720006109599</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65.401720006109599</v>
      </c>
      <c r="CY26" s="354">
        <v>1</v>
      </c>
      <c r="CZ26" s="83">
        <f t="shared" si="53"/>
        <v>2.2586249999999999</v>
      </c>
      <c r="DA26" s="79">
        <f t="shared" si="20"/>
        <v>0</v>
      </c>
      <c r="DB26" s="112">
        <f t="shared" si="21"/>
        <v>0</v>
      </c>
      <c r="DC26" s="55">
        <f t="shared" si="22"/>
        <v>-5.0125418235442863E-3</v>
      </c>
      <c r="DD26" s="133">
        <f t="shared" si="23"/>
        <v>-5.0125418235442863E-3</v>
      </c>
      <c r="DE26" s="466">
        <f t="shared" si="54"/>
        <v>0</v>
      </c>
      <c r="DF26" s="377">
        <f t="shared" si="69"/>
        <v>496.37626935205066</v>
      </c>
      <c r="DG26" s="240">
        <f t="shared" si="24"/>
        <v>347.46338854643545</v>
      </c>
      <c r="DH26" s="240">
        <f t="shared" si="70"/>
        <v>204.62302059482803</v>
      </c>
      <c r="DJ26" s="17">
        <f t="shared" si="25"/>
        <v>496.37626935205066</v>
      </c>
      <c r="DK26" s="266">
        <f t="shared" si="55"/>
        <v>36.433604636244183</v>
      </c>
      <c r="DL26" s="135">
        <f t="shared" si="26"/>
        <v>459.94266471580647</v>
      </c>
      <c r="DM26" s="244">
        <f>'Mite Immigration'!C34</f>
        <v>0</v>
      </c>
      <c r="DN26" s="137">
        <f t="shared" si="56"/>
        <v>-1.2739031600167861E-2</v>
      </c>
      <c r="DO26" s="98">
        <f t="shared" si="64"/>
        <v>-1.2739031600167861E-2</v>
      </c>
      <c r="DP26" s="265">
        <f t="shared" si="27"/>
        <v>459.9299256842063</v>
      </c>
      <c r="DQ26" s="392">
        <f>FG$32</f>
        <v>0</v>
      </c>
      <c r="DR26" s="135">
        <f t="shared" si="57"/>
        <v>0</v>
      </c>
      <c r="DS26" s="95">
        <f t="shared" si="28"/>
        <v>459.9299256842063</v>
      </c>
      <c r="DT26" s="29">
        <f t="shared" si="29"/>
        <v>-5.0143630213130364E-3</v>
      </c>
      <c r="DU26" s="271">
        <f t="shared" si="30"/>
        <v>40878</v>
      </c>
      <c r="DV26" s="89">
        <f t="shared" si="31"/>
        <v>496.37626935205066</v>
      </c>
      <c r="DW26" s="29">
        <f t="shared" si="32"/>
        <v>3.1023516834503165E-2</v>
      </c>
      <c r="DX26" s="145">
        <f t="shared" si="33"/>
        <v>9.7724078028684964</v>
      </c>
      <c r="DY26">
        <f t="shared" si="65"/>
        <v>100</v>
      </c>
      <c r="DZ26" t="str">
        <f t="shared" si="66"/>
        <v/>
      </c>
      <c r="EA26">
        <f>IF(DX$21&gt;60,100,0)</f>
        <v>0</v>
      </c>
      <c r="EB26">
        <f t="shared" si="68"/>
        <v>100</v>
      </c>
      <c r="EC26" s="17">
        <f t="shared" si="58"/>
        <v>0.68437499999999996</v>
      </c>
      <c r="ED26" s="18">
        <f t="shared" si="59"/>
        <v>0</v>
      </c>
      <c r="EE26" s="264">
        <f t="shared" si="60"/>
        <v>0.68437499999999996</v>
      </c>
      <c r="EF26" s="264">
        <f t="shared" si="67"/>
        <v>4.4999999999999998E-2</v>
      </c>
      <c r="EG26" s="104">
        <f t="shared" si="61"/>
        <v>0.6</v>
      </c>
      <c r="EH26" s="263">
        <f t="shared" si="62"/>
        <v>1.2739031600167861E-2</v>
      </c>
      <c r="EJ26" s="17">
        <f t="shared" si="63"/>
        <v>0</v>
      </c>
      <c r="EK26" s="164">
        <f>FG$57</f>
        <v>604.01305246494792</v>
      </c>
      <c r="EL26" s="37">
        <f>FF$59</f>
        <v>0.57698949737022931</v>
      </c>
      <c r="EP26" s="2">
        <v>40878</v>
      </c>
      <c r="EQ26" s="259">
        <v>43252</v>
      </c>
      <c r="EU26" s="18"/>
      <c r="EV26" s="18"/>
    </row>
    <row r="27" spans="1:164" ht="13" customHeight="1" x14ac:dyDescent="0.4">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82"/>
      <c r="AE27" s="485">
        <f t="shared" si="34"/>
        <v>40892</v>
      </c>
      <c r="AF27" s="417"/>
      <c r="AX27" s="242"/>
      <c r="BA27" s="405">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6">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6">
        <f t="shared" si="54"/>
        <v>0</v>
      </c>
      <c r="DF27" s="377">
        <f t="shared" si="69"/>
        <v>459.9299256842063</v>
      </c>
      <c r="DG27" s="240">
        <f t="shared" si="24"/>
        <v>321.95094797894438</v>
      </c>
      <c r="DH27" s="240">
        <f t="shared" si="70"/>
        <v>136.18863232670441</v>
      </c>
      <c r="DJ27" s="17">
        <f t="shared" si="25"/>
        <v>459.9299256842063</v>
      </c>
      <c r="DK27" s="266">
        <f t="shared" si="55"/>
        <v>33.758473374702817</v>
      </c>
      <c r="DL27" s="135">
        <f t="shared" si="26"/>
        <v>426.17145230950348</v>
      </c>
      <c r="DM27" s="244">
        <f>'Mite Immigration'!C35</f>
        <v>0</v>
      </c>
      <c r="DN27" s="137">
        <f t="shared" si="56"/>
        <v>-1.1803670358379825E-2</v>
      </c>
      <c r="DO27" s="98">
        <f t="shared" si="64"/>
        <v>-1.1803670358379825E-2</v>
      </c>
      <c r="DP27" s="265">
        <f t="shared" si="27"/>
        <v>426.15964863914508</v>
      </c>
      <c r="DQ27" s="392">
        <f>FH$32</f>
        <v>0</v>
      </c>
      <c r="DR27" s="135">
        <f t="shared" si="57"/>
        <v>0</v>
      </c>
      <c r="DS27" s="95">
        <f t="shared" si="28"/>
        <v>426.15964863914508</v>
      </c>
      <c r="DT27" s="29">
        <f t="shared" si="29"/>
        <v>-5.0143630213130364E-3</v>
      </c>
      <c r="DU27" s="271">
        <f t="shared" si="30"/>
        <v>40892</v>
      </c>
      <c r="DV27" s="89">
        <f t="shared" si="31"/>
        <v>459.9299256842063</v>
      </c>
      <c r="DW27" s="29">
        <f t="shared" si="32"/>
        <v>2.8745620355262895E-2</v>
      </c>
      <c r="DX27" s="145">
        <f t="shared" si="33"/>
        <v>9.0548704119078121</v>
      </c>
      <c r="DY27">
        <f t="shared" si="65"/>
        <v>100</v>
      </c>
      <c r="DZ27" t="str">
        <f t="shared" si="66"/>
        <v/>
      </c>
      <c r="EA27">
        <f>IF(DX$21&gt;60,100,0)</f>
        <v>0</v>
      </c>
      <c r="EB27">
        <f t="shared" si="68"/>
        <v>100</v>
      </c>
      <c r="EC27" s="17">
        <f t="shared" si="58"/>
        <v>0.68437499999999996</v>
      </c>
      <c r="ED27" s="18">
        <f t="shared" si="59"/>
        <v>0</v>
      </c>
      <c r="EE27" s="264">
        <f t="shared" si="60"/>
        <v>0.68437499999999996</v>
      </c>
      <c r="EF27" s="264">
        <f t="shared" si="67"/>
        <v>4.4999999999999998E-2</v>
      </c>
      <c r="EG27" s="104">
        <f t="shared" si="61"/>
        <v>0.6</v>
      </c>
      <c r="EH27" s="263">
        <f t="shared" si="62"/>
        <v>1.1803670358379825E-2</v>
      </c>
      <c r="EJ27" s="17">
        <f t="shared" si="63"/>
        <v>0</v>
      </c>
      <c r="EK27" s="164">
        <f>FH$57</f>
        <v>688.02016517918094</v>
      </c>
      <c r="EL27" s="37">
        <f>FG$59</f>
        <v>0.80212291320503037</v>
      </c>
      <c r="EP27" s="2">
        <v>40892</v>
      </c>
      <c r="EQ27" s="259">
        <v>43266</v>
      </c>
      <c r="ET27">
        <v>11.025</v>
      </c>
      <c r="EU27" s="18"/>
      <c r="EV27" s="18"/>
    </row>
    <row r="28" spans="1:164" ht="12.75" customHeight="1" x14ac:dyDescent="0.4">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83"/>
      <c r="AE28" s="485">
        <f t="shared" si="34"/>
        <v>40908</v>
      </c>
      <c r="AF28" s="417"/>
      <c r="AG28" s="243"/>
      <c r="AI28" s="159"/>
      <c r="AJ28" s="159"/>
      <c r="AK28" s="159"/>
      <c r="AL28" s="159"/>
      <c r="AM28" s="159"/>
      <c r="AN28" s="159"/>
      <c r="AO28" s="159"/>
      <c r="AP28" s="159"/>
      <c r="AQ28" s="159"/>
      <c r="AR28" s="159"/>
      <c r="AS28" s="159"/>
      <c r="AT28" s="159"/>
      <c r="AU28" s="159"/>
      <c r="AV28" s="159"/>
      <c r="AW28" s="159"/>
      <c r="AX28" s="159"/>
      <c r="BA28" s="405">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6">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6">
        <f t="shared" si="54"/>
        <v>0</v>
      </c>
      <c r="DF28" s="377">
        <f t="shared" si="69"/>
        <v>426.15964863914508</v>
      </c>
      <c r="DG28" s="240">
        <f>DF28*$BQ$30</f>
        <v>298.31175404740151</v>
      </c>
      <c r="DH28" s="240">
        <f t="shared" si="70"/>
        <v>59.0290608475973</v>
      </c>
      <c r="DJ28" s="17">
        <f t="shared" si="25"/>
        <v>426.15964863914508</v>
      </c>
      <c r="DK28" s="266">
        <f>DJ28-DL28</f>
        <v>31.27976317382587</v>
      </c>
      <c r="DL28" s="135">
        <f t="shared" si="26"/>
        <v>394.87988546531921</v>
      </c>
      <c r="DM28" s="244" t="e">
        <f>'Mite Immigration'!#REF!</f>
        <v>#REF!</v>
      </c>
      <c r="DN28" s="137">
        <f>IF(EH28&gt;DV28*EG28,-DV28*EG28,-EH28)</f>
        <v>-1.0936987857653058E-2</v>
      </c>
      <c r="DO28" s="98" t="e">
        <f>DM28+DN28</f>
        <v>#REF!</v>
      </c>
      <c r="DP28" s="265" t="e">
        <f t="shared" si="27"/>
        <v>#REF!</v>
      </c>
      <c r="DQ28" s="392"/>
      <c r="DR28" s="135"/>
      <c r="DS28" s="95" t="e">
        <f>DP28-DR28</f>
        <v>#REF!</v>
      </c>
      <c r="DT28" s="29" t="e">
        <f t="shared" si="29"/>
        <v>#REF!</v>
      </c>
      <c r="DU28" s="271">
        <f t="shared" si="30"/>
        <v>40908</v>
      </c>
      <c r="DV28" s="89">
        <f t="shared" si="31"/>
        <v>426.15964863914508</v>
      </c>
      <c r="DW28" s="29">
        <f t="shared" si="32"/>
        <v>2.6634978039946567E-2</v>
      </c>
      <c r="DX28" s="145">
        <f>DW28*315</f>
        <v>8.3900180825831683</v>
      </c>
      <c r="DY28">
        <f t="shared" si="65"/>
        <v>100</v>
      </c>
      <c r="DZ28" t="str">
        <f t="shared" si="66"/>
        <v/>
      </c>
      <c r="EA28">
        <f>IF(DX$21&gt;60,100,0)</f>
        <v>0</v>
      </c>
      <c r="EB28">
        <f t="shared" si="68"/>
        <v>100</v>
      </c>
      <c r="EC28" s="17">
        <f t="shared" si="58"/>
        <v>0.68437499999999996</v>
      </c>
      <c r="ED28" s="18">
        <f t="shared" si="59"/>
        <v>0</v>
      </c>
      <c r="EE28" s="264">
        <f>EC28-ED28</f>
        <v>0.68437499999999996</v>
      </c>
      <c r="EF28" s="264">
        <f t="shared" si="67"/>
        <v>4.4999999999999998E-2</v>
      </c>
      <c r="EG28" s="104">
        <f>IF(DW28&gt;0.15,1,$BQ$35)</f>
        <v>0.6</v>
      </c>
      <c r="EH28" s="263">
        <f>EE28*EG28*DW28</f>
        <v>1.0936987857653058E-2</v>
      </c>
      <c r="EJ28" s="17">
        <f t="shared" si="63"/>
        <v>0</v>
      </c>
      <c r="EK28" s="164">
        <f>FH$57</f>
        <v>688.02016517918094</v>
      </c>
      <c r="EL28" s="37">
        <f>FG$59</f>
        <v>0.80212291320503037</v>
      </c>
      <c r="EN28" s="18"/>
      <c r="EO28" s="18"/>
      <c r="EP28" s="2">
        <v>40908</v>
      </c>
      <c r="EQ28" s="259">
        <v>43281</v>
      </c>
      <c r="EU28" s="18"/>
      <c r="EV28" s="18"/>
    </row>
    <row r="29" spans="1:164" ht="13" customHeight="1" x14ac:dyDescent="0.3">
      <c r="AF29" s="418"/>
      <c r="AI29" s="314"/>
      <c r="AJ29" s="314"/>
      <c r="AK29" s="314"/>
      <c r="AL29" s="314"/>
      <c r="AM29" s="314"/>
      <c r="AN29" s="314"/>
      <c r="AO29" s="314"/>
      <c r="AP29" s="314"/>
      <c r="AQ29" s="314"/>
      <c r="AR29" s="314"/>
      <c r="AS29" s="314"/>
      <c r="AT29" s="314"/>
      <c r="AU29" s="314"/>
      <c r="AV29" s="314"/>
      <c r="AW29" s="314"/>
      <c r="AX29" s="314"/>
      <c r="AY29" s="472"/>
      <c r="AZ29" s="467"/>
      <c r="BA29" s="315" t="s">
        <v>306</v>
      </c>
      <c r="BB29" s="317">
        <f>MAX(BB4:BB28)</f>
        <v>732.7279811166386</v>
      </c>
      <c r="BC29" s="316" t="s">
        <v>304</v>
      </c>
      <c r="BD29" s="313">
        <f>SUM(BD4:BD28)</f>
        <v>200</v>
      </c>
      <c r="BE29" s="304"/>
      <c r="BF29" s="304"/>
      <c r="BG29" s="304"/>
      <c r="BH29" s="304"/>
      <c r="BI29" s="304"/>
      <c r="BJ29" s="304"/>
      <c r="BK29" s="241"/>
      <c r="BL29" s="241"/>
      <c r="BM29" s="241"/>
      <c r="BN29" s="241"/>
      <c r="BO29" s="523" t="s">
        <v>18</v>
      </c>
      <c r="BP29" s="320">
        <f>AG40</f>
        <v>1.45</v>
      </c>
      <c r="BQ29" s="170">
        <f>IF($AG$38="custom",AH40*(1-$BQ$39),IF($AG$38="",BP29*(1-AG49),"error"))</f>
        <v>1.3774999999999999</v>
      </c>
      <c r="BR29" s="380" t="s">
        <v>130</v>
      </c>
      <c r="BX29" s="5"/>
      <c r="BY29" s="27"/>
      <c r="BZ29" s="255">
        <f>BY29+12</f>
        <v>12</v>
      </c>
      <c r="CG29"/>
      <c r="CM29" s="73">
        <f>BY29+15</f>
        <v>15</v>
      </c>
      <c r="CT29" s="255" t="s">
        <v>141</v>
      </c>
      <c r="CU29" s="37">
        <f>MAX(CU4:CU28)</f>
        <v>0.60099542275825235</v>
      </c>
      <c r="CV29" s="104"/>
      <c r="CZ29" s="255"/>
      <c r="DM29" s="245">
        <f>SUM(DM4:DM27)</f>
        <v>200</v>
      </c>
      <c r="DN29" s="35">
        <f>SUM(DN5:DN28)</f>
        <v>-616.97139443999458</v>
      </c>
      <c r="DO29" s="98">
        <f>DM29+DN29</f>
        <v>-416.97139443999458</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3" customHeight="1" x14ac:dyDescent="0.3">
      <c r="B30" s="582" t="s">
        <v>348</v>
      </c>
      <c r="C30" s="582"/>
      <c r="D30" s="582"/>
      <c r="E30" s="582"/>
      <c r="F30" s="582"/>
      <c r="G30" s="582"/>
      <c r="H30" s="582"/>
      <c r="I30" s="582"/>
      <c r="J30" s="582"/>
      <c r="K30" s="582"/>
      <c r="L30" s="582"/>
      <c r="M30" s="582"/>
      <c r="AF30" s="418"/>
      <c r="AG30" s="12"/>
      <c r="AH30" s="314"/>
      <c r="AI30" s="314"/>
      <c r="AJ30" s="314"/>
      <c r="AK30" s="314"/>
      <c r="AL30" s="314"/>
      <c r="AM30" s="314"/>
      <c r="AN30" s="314"/>
      <c r="AO30" s="314"/>
      <c r="AP30" s="314"/>
      <c r="AQ30" s="314"/>
      <c r="AR30" s="314"/>
      <c r="AS30" s="314"/>
      <c r="AT30" s="314"/>
      <c r="AU30" s="314"/>
      <c r="AV30" s="314"/>
      <c r="AW30" s="314"/>
      <c r="AX30" s="314"/>
      <c r="AY30" s="472"/>
      <c r="AZ30" s="468"/>
      <c r="BA30" s="314"/>
      <c r="BB30" s="64"/>
      <c r="BC30" s="298"/>
      <c r="BD30" s="64"/>
      <c r="BE30" s="64"/>
      <c r="BF30" s="64"/>
      <c r="BG30" s="64"/>
      <c r="BH30" s="64"/>
      <c r="BI30" s="64"/>
      <c r="BJ30" s="64"/>
      <c r="BM30" s="11"/>
      <c r="BO30" s="523"/>
      <c r="BP30" s="320">
        <f t="shared" ref="BP30:BP35" si="71">AG41</f>
        <v>0.7</v>
      </c>
      <c r="BQ30" s="61">
        <f t="shared" ref="BQ30:BQ35" si="72">IF($AG$38="custom",AH41,IF($AG$38="",BP30,"error"))</f>
        <v>0.7</v>
      </c>
      <c r="BR30" s="380" t="s">
        <v>229</v>
      </c>
      <c r="BY30" s="5"/>
      <c r="BZ30" s="92">
        <f>(1+(BQ29*BQ30))</f>
        <v>1.9642499999999998</v>
      </c>
      <c r="CA30" s="442" t="s">
        <v>129</v>
      </c>
      <c r="CB30"/>
      <c r="CC30"/>
      <c r="CZ30" s="442"/>
      <c r="EJ30" t="s">
        <v>186</v>
      </c>
      <c r="EK30" s="17">
        <f>BT4</f>
        <v>193.49999999999997</v>
      </c>
      <c r="EL30" s="17">
        <f>BT5</f>
        <v>1</v>
      </c>
      <c r="EM30" s="17">
        <f>BT6</f>
        <v>1</v>
      </c>
      <c r="EN30" s="17">
        <f>BT7</f>
        <v>193.49999999999997</v>
      </c>
      <c r="EO30" s="17">
        <f>BT8</f>
        <v>1</v>
      </c>
      <c r="EP30" s="17">
        <f>BT9</f>
        <v>2250</v>
      </c>
      <c r="EQ30" s="17">
        <f>BT10</f>
        <v>4500</v>
      </c>
      <c r="ER30" s="17">
        <f>BT11</f>
        <v>22500</v>
      </c>
      <c r="ES30" s="17">
        <f>BT12</f>
        <v>31500</v>
      </c>
      <c r="ET30" s="17">
        <f>BT13</f>
        <v>31500</v>
      </c>
      <c r="EU30" s="17">
        <f>BT14</f>
        <v>36000</v>
      </c>
      <c r="EV30" s="17">
        <f>BT15</f>
        <v>36000</v>
      </c>
      <c r="EW30" s="17">
        <f>BT16</f>
        <v>27000</v>
      </c>
      <c r="EX30" s="17">
        <f>BT17</f>
        <v>22500</v>
      </c>
      <c r="EY30" s="17">
        <f>BT18</f>
        <v>20250</v>
      </c>
      <c r="EZ30" s="17">
        <f>BT19</f>
        <v>18000</v>
      </c>
      <c r="FA30" s="17">
        <f>BT20</f>
        <v>15750</v>
      </c>
      <c r="FB30" s="17">
        <f>BT21</f>
        <v>13500</v>
      </c>
      <c r="FC30" s="17">
        <f>BT22</f>
        <v>2250</v>
      </c>
      <c r="FD30" s="17">
        <f>BT23</f>
        <v>450</v>
      </c>
      <c r="FE30" s="17">
        <f>BT24</f>
        <v>1</v>
      </c>
      <c r="FF30" s="17">
        <f>BT25</f>
        <v>1</v>
      </c>
      <c r="FG30" s="17">
        <f>BT26</f>
        <v>1</v>
      </c>
      <c r="FH30" s="17">
        <f>BT27</f>
        <v>1</v>
      </c>
    </row>
    <row r="31" spans="1:164" x14ac:dyDescent="0.4">
      <c r="B31" s="565" t="str">
        <f>'Colony Type'!B30</f>
        <v>D: Default colony in temperate climate, managed to prevent swarming (slight fall brood buildup)</v>
      </c>
      <c r="C31" s="565"/>
      <c r="D31" s="565"/>
      <c r="E31" s="565"/>
      <c r="F31" s="565"/>
      <c r="G31" s="565"/>
      <c r="H31" s="565"/>
      <c r="I31" s="565"/>
      <c r="J31" s="565"/>
      <c r="K31" s="565"/>
      <c r="L31" s="565"/>
      <c r="M31" s="565"/>
      <c r="AF31" s="418"/>
      <c r="AM31" s="442"/>
      <c r="AN31" s="442"/>
      <c r="AO31" s="442"/>
      <c r="AP31" s="442"/>
      <c r="AQ31" s="442"/>
      <c r="AR31" s="442"/>
      <c r="AS31" s="442"/>
      <c r="AT31" s="442"/>
      <c r="AU31" s="442"/>
      <c r="AV31" s="442"/>
      <c r="AW31" s="442"/>
      <c r="AX31" s="442"/>
      <c r="BA31" s="420" t="str">
        <f>C21</f>
        <v>b</v>
      </c>
      <c r="BB31" s="393" t="s">
        <v>355</v>
      </c>
      <c r="BC31" s="442"/>
      <c r="BD31" s="442"/>
      <c r="BE31" s="442"/>
      <c r="BH31" s="524"/>
      <c r="BI31" s="524"/>
      <c r="BJ31" s="524"/>
      <c r="BK31" s="524"/>
      <c r="BL31" s="524"/>
      <c r="BM31" s="524"/>
      <c r="BN31" s="524"/>
      <c r="BO31" s="523" t="s">
        <v>19</v>
      </c>
      <c r="BP31" s="320">
        <f t="shared" si="71"/>
        <v>3.5</v>
      </c>
      <c r="BQ31" s="170">
        <f t="shared" si="72"/>
        <v>3.5</v>
      </c>
      <c r="BR31" s="380" t="s">
        <v>118</v>
      </c>
      <c r="BZ31">
        <f>LN(BZ30)</f>
        <v>0.67511049307379378</v>
      </c>
      <c r="CA31" s="442" t="s">
        <v>128</v>
      </c>
      <c r="CB31"/>
      <c r="CC31"/>
      <c r="CD31"/>
      <c r="CE31" s="37"/>
      <c r="CF31" s="37"/>
      <c r="CI31" s="442"/>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4">
      <c r="B32" s="565"/>
      <c r="C32" s="565"/>
      <c r="D32" s="565"/>
      <c r="E32" s="565"/>
      <c r="F32" s="565"/>
      <c r="G32" s="565"/>
      <c r="H32" s="565"/>
      <c r="I32" s="565"/>
      <c r="J32" s="565"/>
      <c r="K32" s="565"/>
      <c r="L32" s="565"/>
      <c r="M32" s="565"/>
      <c r="AF32" s="418"/>
      <c r="AG32" s="12"/>
      <c r="BA32" s="422">
        <f>C22</f>
        <v>100</v>
      </c>
      <c r="BB32" s="421" t="s">
        <v>357</v>
      </c>
      <c r="BC32" s="126"/>
      <c r="BD32" s="126"/>
      <c r="BE32" s="126"/>
      <c r="BG32" s="161"/>
      <c r="BO32" s="523"/>
      <c r="BP32" s="320">
        <f t="shared" si="71"/>
        <v>0.7</v>
      </c>
      <c r="BQ32" s="61">
        <f t="shared" si="72"/>
        <v>0.7</v>
      </c>
      <c r="BR32" s="380" t="s">
        <v>230</v>
      </c>
      <c r="BW32">
        <f>LN(1885/1160)/23</f>
        <v>2.1109035468769601E-2</v>
      </c>
      <c r="BZ32" s="92">
        <f>(LN(1+(BQ29*BQ30)))/12</f>
        <v>5.6259207756149482E-2</v>
      </c>
      <c r="CA32" t="s">
        <v>124</v>
      </c>
      <c r="CB32"/>
      <c r="CC32"/>
      <c r="CD32"/>
      <c r="CE32" s="37"/>
      <c r="CF32" s="37"/>
      <c r="CG32"/>
      <c r="CK32" s="10"/>
      <c r="CY32" s="255"/>
      <c r="CZ32" s="442"/>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4">
      <c r="B33" s="565" t="str">
        <f>'Colony Type'!B58</f>
        <v>N: Nucleus colony, 5 frames of bees, 3 frames of brood, started 1 April</v>
      </c>
      <c r="C33" s="565"/>
      <c r="D33" s="565"/>
      <c r="E33" s="565"/>
      <c r="F33" s="565"/>
      <c r="G33" s="565"/>
      <c r="H33" s="565"/>
      <c r="I33" s="565"/>
      <c r="J33" s="565"/>
      <c r="K33" s="565"/>
      <c r="L33" s="565"/>
      <c r="M33" s="565"/>
      <c r="AF33" s="394"/>
      <c r="BA33" s="422">
        <f>C23</f>
        <v>0</v>
      </c>
      <c r="BB33" s="6" t="s">
        <v>356</v>
      </c>
      <c r="BC33"/>
      <c r="BP33" s="359">
        <f t="shared" si="71"/>
        <v>5.0000000000000001E-3</v>
      </c>
      <c r="BQ33" s="61">
        <f t="shared" si="72"/>
        <v>5.0000000000000001E-3</v>
      </c>
      <c r="BR33" s="380" t="s">
        <v>330</v>
      </c>
      <c r="BW33">
        <f>1160*EXP(BW32*45)</f>
        <v>2999.1430600487124</v>
      </c>
      <c r="BZ33" s="92">
        <f>12/17*BZ32+5/17*BW37</f>
        <v>3.823810493859249E-2</v>
      </c>
      <c r="CA33" s="255" t="s">
        <v>123</v>
      </c>
      <c r="CB33"/>
      <c r="CC33"/>
      <c r="CD33"/>
      <c r="CE33" s="37"/>
      <c r="CF33" s="37"/>
      <c r="CI33" s="54"/>
      <c r="CJ33" s="54"/>
      <c r="CK33" s="55"/>
      <c r="CS33" s="14"/>
      <c r="CT33" s="450"/>
      <c r="CU33" s="450"/>
      <c r="CV33" s="450"/>
      <c r="CW33" s="450"/>
      <c r="CX33" s="380"/>
      <c r="CY33" s="255"/>
      <c r="CZ33" s="442"/>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3" x14ac:dyDescent="0.3">
      <c r="B34" s="580" t="str">
        <f>'Colony Type'!B86</f>
        <v>P: Package bee colony (3 lb), installed on drawn comb and fed well</v>
      </c>
      <c r="C34" s="580"/>
      <c r="D34" s="580"/>
      <c r="E34" s="580"/>
      <c r="F34" s="580"/>
      <c r="G34" s="580"/>
      <c r="H34" s="580"/>
      <c r="I34" s="580"/>
      <c r="J34" s="580"/>
      <c r="K34" s="580"/>
      <c r="L34" s="580"/>
      <c r="M34" s="580"/>
      <c r="AG34" s="525" t="s">
        <v>359</v>
      </c>
      <c r="AH34" s="525"/>
      <c r="AI34" s="525"/>
      <c r="AJ34" s="525"/>
      <c r="AK34" s="525"/>
      <c r="AL34" s="525"/>
      <c r="AM34" s="525"/>
      <c r="AN34" s="525"/>
      <c r="AO34" s="525"/>
      <c r="AP34" s="525"/>
      <c r="AQ34" s="525"/>
      <c r="AR34" s="525"/>
      <c r="AS34" s="525"/>
      <c r="AT34" s="525"/>
      <c r="AU34" s="525"/>
      <c r="AV34" s="525"/>
      <c r="AW34" s="525"/>
      <c r="AX34" s="525"/>
      <c r="AY34" s="525"/>
      <c r="AZ34" s="525"/>
      <c r="BB34" s="64"/>
      <c r="BF34" s="64"/>
      <c r="BP34" s="359">
        <f t="shared" si="71"/>
        <v>6.0000000000000001E-3</v>
      </c>
      <c r="BQ34" s="61">
        <f t="shared" si="72"/>
        <v>6.0000000000000001E-3</v>
      </c>
      <c r="BR34" s="380" t="s">
        <v>331</v>
      </c>
      <c r="BX34"/>
      <c r="BY34"/>
      <c r="CB34"/>
      <c r="CC34"/>
      <c r="CD34"/>
      <c r="CE34" s="37"/>
      <c r="CF34" s="37"/>
      <c r="CI34"/>
      <c r="CJ34"/>
      <c r="CK34" s="55"/>
      <c r="CS34" s="14"/>
      <c r="CT34" s="450"/>
      <c r="CU34" s="450"/>
      <c r="CV34" s="450"/>
      <c r="CW34" s="450"/>
      <c r="CX34" s="380"/>
      <c r="CY34" s="255"/>
      <c r="CZ34" s="442"/>
      <c r="DF34" s="17"/>
      <c r="DG34" s="17"/>
      <c r="DH34" s="17"/>
      <c r="DI34" s="17"/>
      <c r="DJ34" s="17"/>
      <c r="DK34" s="17"/>
      <c r="DL34" s="17"/>
      <c r="DM34" s="31"/>
      <c r="EJ34" s="272">
        <f t="shared" si="73"/>
        <v>40558</v>
      </c>
      <c r="EL34" s="162">
        <f>EJ5</f>
        <v>0</v>
      </c>
      <c r="EM34" s="17">
        <f t="shared" si="74"/>
        <v>0</v>
      </c>
      <c r="EN34" s="17">
        <f t="shared" si="74"/>
        <v>0</v>
      </c>
      <c r="EO34" s="17">
        <f t="shared" si="74"/>
        <v>0</v>
      </c>
      <c r="EP34" s="17">
        <f t="shared" si="74"/>
        <v>0</v>
      </c>
      <c r="EQ34" s="164">
        <f t="shared" si="74"/>
        <v>0</v>
      </c>
      <c r="ER34" s="164">
        <f>EQ34*(1-EQ$32)*EXP($BW$38*15)</f>
        <v>0</v>
      </c>
      <c r="ES34" s="164">
        <f t="shared" si="74"/>
        <v>0</v>
      </c>
      <c r="ET34" s="164">
        <f t="shared" si="74"/>
        <v>0</v>
      </c>
      <c r="EU34" s="164">
        <f t="shared" si="74"/>
        <v>0</v>
      </c>
      <c r="EV34" s="164">
        <f t="shared" si="74"/>
        <v>0</v>
      </c>
      <c r="EW34" s="164">
        <f t="shared" si="74"/>
        <v>0</v>
      </c>
      <c r="EX34" s="164">
        <f t="shared" si="74"/>
        <v>0</v>
      </c>
      <c r="EY34" s="164">
        <f t="shared" si="74"/>
        <v>0</v>
      </c>
      <c r="EZ34" s="164">
        <f t="shared" si="74"/>
        <v>0</v>
      </c>
      <c r="FA34" s="164">
        <f t="shared" si="74"/>
        <v>0</v>
      </c>
      <c r="FB34" s="164">
        <f t="shared" si="74"/>
        <v>0</v>
      </c>
      <c r="FC34" s="164">
        <f t="shared" si="75"/>
        <v>0</v>
      </c>
      <c r="FD34" s="164">
        <f t="shared" si="75"/>
        <v>0</v>
      </c>
      <c r="FE34" s="164">
        <f t="shared" si="75"/>
        <v>0</v>
      </c>
      <c r="FF34" s="164">
        <f t="shared" si="75"/>
        <v>0</v>
      </c>
      <c r="FG34" s="164">
        <f t="shared" si="75"/>
        <v>0</v>
      </c>
      <c r="FH34" s="164">
        <f t="shared" si="75"/>
        <v>0</v>
      </c>
    </row>
    <row r="35" spans="2:164" x14ac:dyDescent="0.4">
      <c r="B35" s="444" t="str">
        <f>'Colony Type'!B114</f>
        <v>A: Subtropical colony, dry climate; no winter brood break--Southern California</v>
      </c>
      <c r="C35" s="444"/>
      <c r="D35" s="444"/>
      <c r="E35" s="444"/>
      <c r="F35" s="444"/>
      <c r="G35" s="444"/>
      <c r="H35" s="444"/>
      <c r="I35" s="444"/>
      <c r="J35" s="444"/>
      <c r="K35" s="621"/>
      <c r="L35" s="622"/>
      <c r="M35" s="623"/>
      <c r="AG35" t="s">
        <v>371</v>
      </c>
      <c r="BC35"/>
      <c r="BO35" s="60"/>
      <c r="BP35" s="320">
        <f t="shared" si="71"/>
        <v>0.6</v>
      </c>
      <c r="BQ35" s="170">
        <f t="shared" si="72"/>
        <v>0.6</v>
      </c>
      <c r="BR35" s="380" t="s">
        <v>132</v>
      </c>
      <c r="CB35"/>
      <c r="CC35"/>
      <c r="CE35" s="37"/>
      <c r="CF35" s="37"/>
      <c r="CI35"/>
      <c r="CJ35"/>
      <c r="CK35" s="55"/>
      <c r="CS35" s="14"/>
      <c r="CT35" s="450"/>
      <c r="CU35" s="450"/>
      <c r="CV35" s="450"/>
      <c r="CW35" s="450"/>
      <c r="CX35" s="380"/>
      <c r="CY35" s="255"/>
      <c r="DF35" s="17"/>
      <c r="DG35" s="17"/>
      <c r="DH35" s="17"/>
      <c r="DI35" s="17"/>
      <c r="DJ35" s="17"/>
      <c r="DK35" s="17"/>
      <c r="DL35" s="17"/>
      <c r="DM35" s="31"/>
      <c r="EJ35" s="272">
        <f t="shared" si="73"/>
        <v>40575</v>
      </c>
      <c r="EM35" s="162">
        <f>EJ6</f>
        <v>0</v>
      </c>
      <c r="EN35" s="17">
        <f t="shared" si="74"/>
        <v>0</v>
      </c>
      <c r="EO35" s="17">
        <f t="shared" si="74"/>
        <v>0</v>
      </c>
      <c r="EP35" s="17">
        <f t="shared" si="74"/>
        <v>0</v>
      </c>
      <c r="EQ35" s="17">
        <f t="shared" si="74"/>
        <v>0</v>
      </c>
      <c r="ER35" s="164">
        <f t="shared" si="74"/>
        <v>0</v>
      </c>
      <c r="ES35" s="164">
        <f t="shared" si="74"/>
        <v>0</v>
      </c>
      <c r="ET35" s="164">
        <f t="shared" si="74"/>
        <v>0</v>
      </c>
      <c r="EU35" s="164">
        <f t="shared" si="74"/>
        <v>0</v>
      </c>
      <c r="EV35" s="164">
        <f t="shared" si="74"/>
        <v>0</v>
      </c>
      <c r="EW35" s="164">
        <f t="shared" si="74"/>
        <v>0</v>
      </c>
      <c r="EX35" s="164">
        <f t="shared" si="74"/>
        <v>0</v>
      </c>
      <c r="EY35" s="164">
        <f t="shared" si="74"/>
        <v>0</v>
      </c>
      <c r="EZ35" s="164">
        <f t="shared" si="74"/>
        <v>0</v>
      </c>
      <c r="FA35" s="164">
        <f t="shared" si="74"/>
        <v>0</v>
      </c>
      <c r="FB35" s="164">
        <f t="shared" si="74"/>
        <v>0</v>
      </c>
      <c r="FC35" s="164">
        <f t="shared" si="75"/>
        <v>0</v>
      </c>
      <c r="FD35" s="164">
        <f t="shared" si="75"/>
        <v>0</v>
      </c>
      <c r="FE35" s="164">
        <f t="shared" si="75"/>
        <v>0</v>
      </c>
      <c r="FF35" s="164">
        <f t="shared" si="75"/>
        <v>0</v>
      </c>
      <c r="FG35" s="164">
        <f t="shared" si="75"/>
        <v>0</v>
      </c>
      <c r="FH35" s="164">
        <f t="shared" si="75"/>
        <v>0</v>
      </c>
    </row>
    <row r="36" spans="2:164" ht="13" customHeight="1" x14ac:dyDescent="0.4">
      <c r="B36" s="580" t="str">
        <f>'Colony Type'!B142</f>
        <v>B: High latitude colony--short summer, long winter brood break</v>
      </c>
      <c r="C36" s="580"/>
      <c r="D36" s="580"/>
      <c r="E36" s="580"/>
      <c r="F36" s="580"/>
      <c r="G36" s="580"/>
      <c r="H36" s="580"/>
      <c r="I36" s="580"/>
      <c r="J36" s="580"/>
      <c r="K36" s="580"/>
      <c r="L36" s="580"/>
      <c r="M36" s="580"/>
      <c r="AG36" s="358" t="s">
        <v>329</v>
      </c>
      <c r="BC36"/>
      <c r="BP36" s="12"/>
      <c r="BQ36">
        <v>15.208333333333334</v>
      </c>
      <c r="BR36" s="234" t="s">
        <v>286</v>
      </c>
      <c r="BV36" t="s">
        <v>208</v>
      </c>
      <c r="CB36"/>
      <c r="CC36"/>
      <c r="CE36" s="37"/>
      <c r="CF36" s="37"/>
      <c r="CI36"/>
      <c r="CJ36"/>
      <c r="CK36" s="55"/>
      <c r="CR36" s="37"/>
      <c r="CS36" s="14"/>
      <c r="CT36" s="450"/>
      <c r="CU36" s="450"/>
      <c r="CV36" s="450"/>
      <c r="CW36" s="450"/>
      <c r="CX36" s="380"/>
      <c r="CY36" s="255"/>
      <c r="DF36" s="17"/>
      <c r="DG36" s="17"/>
      <c r="DH36" s="17"/>
      <c r="DI36" s="17"/>
      <c r="DJ36" s="17"/>
      <c r="DK36" s="17"/>
      <c r="DL36" s="17"/>
      <c r="DM36" s="31"/>
      <c r="EJ36" s="272">
        <f t="shared" si="73"/>
        <v>40589</v>
      </c>
      <c r="EN36" s="162">
        <f>EJ7</f>
        <v>19.710084720211725</v>
      </c>
      <c r="EO36" s="17">
        <f t="shared" si="74"/>
        <v>18.008778520747661</v>
      </c>
      <c r="EP36" s="17">
        <f t="shared" si="74"/>
        <v>16.454323175829479</v>
      </c>
      <c r="EQ36" s="17">
        <f t="shared" si="74"/>
        <v>15.034043028666154</v>
      </c>
      <c r="ER36" s="17">
        <f t="shared" si="74"/>
        <v>13.736356541228039</v>
      </c>
      <c r="ES36" s="164">
        <f t="shared" si="74"/>
        <v>12.550681853707518</v>
      </c>
      <c r="ET36" s="164">
        <f t="shared" si="74"/>
        <v>11.467350495759689</v>
      </c>
      <c r="EU36" s="164">
        <f t="shared" si="74"/>
        <v>10.477528545889669</v>
      </c>
      <c r="EV36" s="164">
        <f t="shared" si="74"/>
        <v>9.5731445960883459</v>
      </c>
      <c r="EW36" s="164">
        <f t="shared" si="74"/>
        <v>8.7468239343110969</v>
      </c>
      <c r="EX36" s="164">
        <f t="shared" si="74"/>
        <v>7.9918284080968256</v>
      </c>
      <c r="EY36" s="164">
        <f t="shared" si="74"/>
        <v>7.3020014789509773</v>
      </c>
      <c r="EZ36" s="164">
        <f t="shared" si="74"/>
        <v>6.6717180194437766</v>
      </c>
      <c r="FA36" s="164">
        <f t="shared" si="74"/>
        <v>6.0958384436489403</v>
      </c>
      <c r="FB36" s="164">
        <f t="shared" si="74"/>
        <v>5.5696667968839479</v>
      </c>
      <c r="FC36" s="164">
        <f t="shared" si="75"/>
        <v>5.0889124629986684</v>
      </c>
      <c r="FD36" s="164">
        <f t="shared" si="75"/>
        <v>4.6496551769581149</v>
      </c>
      <c r="FE36" s="164">
        <f t="shared" si="75"/>
        <v>4.2483130574177963</v>
      </c>
      <c r="FF36" s="164">
        <f t="shared" si="75"/>
        <v>3.8816133986163606</v>
      </c>
      <c r="FG36" s="164">
        <f t="shared" si="75"/>
        <v>3.5465659834108387</v>
      </c>
      <c r="FH36" s="164">
        <f t="shared" si="75"/>
        <v>3.240438699838188</v>
      </c>
    </row>
    <row r="37" spans="2:164" ht="13" customHeight="1" x14ac:dyDescent="0.4">
      <c r="B37" s="565" t="str">
        <f>'Colony Type'!B170</f>
        <v>C: California 8-frame almond colony shaken twice in April.   Enter a 25% "treatment" in April to account for mites lost on shook bees</v>
      </c>
      <c r="C37" s="565"/>
      <c r="D37" s="565"/>
      <c r="E37" s="565"/>
      <c r="F37" s="565"/>
      <c r="G37" s="565"/>
      <c r="H37" s="565"/>
      <c r="I37" s="565"/>
      <c r="J37" s="565"/>
      <c r="K37" s="565"/>
      <c r="L37" s="565"/>
      <c r="M37" s="565"/>
      <c r="AG37" s="6" t="s">
        <v>200</v>
      </c>
      <c r="AH37" s="442"/>
      <c r="BG37" s="66"/>
      <c r="BP37" s="384">
        <v>0.5</v>
      </c>
      <c r="BQ37" s="381">
        <v>0.5</v>
      </c>
      <c r="BR37" s="380" t="s">
        <v>333</v>
      </c>
      <c r="BW37" s="85">
        <f>LN(1-BQ33)</f>
        <v>-5.0125418235442863E-3</v>
      </c>
      <c r="BX37" s="442" t="s">
        <v>175</v>
      </c>
      <c r="CE37" s="30"/>
      <c r="CF37" s="30"/>
      <c r="CI37"/>
      <c r="CJ37"/>
      <c r="CK37" s="55"/>
      <c r="CR37" s="37"/>
      <c r="CS37" s="14"/>
      <c r="CT37" s="450"/>
      <c r="CU37" s="450"/>
      <c r="CV37" s="450"/>
      <c r="CW37" s="450"/>
      <c r="CX37" s="380"/>
      <c r="CY37" s="255"/>
      <c r="DM37" s="31"/>
      <c r="EJ37" s="272">
        <f t="shared" si="73"/>
        <v>40603</v>
      </c>
      <c r="EO37" s="162">
        <f>EJ8</f>
        <v>0</v>
      </c>
      <c r="EP37" s="17">
        <f>EO37*(1-EO$32)*EXP($BW$38*15)</f>
        <v>0</v>
      </c>
      <c r="EQ37" s="17">
        <f t="shared" si="74"/>
        <v>0</v>
      </c>
      <c r="ER37" s="17">
        <f t="shared" si="74"/>
        <v>0</v>
      </c>
      <c r="ES37" s="17">
        <f t="shared" si="74"/>
        <v>0</v>
      </c>
      <c r="ET37" s="164">
        <f t="shared" si="74"/>
        <v>0</v>
      </c>
      <c r="EU37" s="164">
        <f t="shared" si="74"/>
        <v>0</v>
      </c>
      <c r="EV37" s="164">
        <f t="shared" si="74"/>
        <v>0</v>
      </c>
      <c r="EW37" s="164">
        <f t="shared" si="74"/>
        <v>0</v>
      </c>
      <c r="EX37" s="164">
        <f t="shared" si="74"/>
        <v>0</v>
      </c>
      <c r="EY37" s="164">
        <f t="shared" si="74"/>
        <v>0</v>
      </c>
      <c r="EZ37" s="164">
        <f t="shared" si="74"/>
        <v>0</v>
      </c>
      <c r="FA37" s="164">
        <f t="shared" si="74"/>
        <v>0</v>
      </c>
      <c r="FB37" s="164">
        <f t="shared" si="74"/>
        <v>0</v>
      </c>
      <c r="FC37" s="164">
        <f t="shared" si="75"/>
        <v>0</v>
      </c>
      <c r="FD37" s="164">
        <f t="shared" si="75"/>
        <v>0</v>
      </c>
      <c r="FE37" s="164">
        <f t="shared" si="75"/>
        <v>0</v>
      </c>
      <c r="FF37" s="164">
        <f t="shared" si="75"/>
        <v>0</v>
      </c>
      <c r="FG37" s="164">
        <f t="shared" si="75"/>
        <v>0</v>
      </c>
      <c r="FH37" s="164">
        <f t="shared" si="75"/>
        <v>0</v>
      </c>
    </row>
    <row r="38" spans="2:164" ht="13" customHeight="1" x14ac:dyDescent="0.4">
      <c r="B38" s="565"/>
      <c r="C38" s="565"/>
      <c r="D38" s="565"/>
      <c r="E38" s="565"/>
      <c r="F38" s="565"/>
      <c r="G38" s="565"/>
      <c r="H38" s="565"/>
      <c r="I38" s="565"/>
      <c r="J38" s="565"/>
      <c r="K38" s="565"/>
      <c r="L38" s="565"/>
      <c r="M38" s="565"/>
      <c r="AG38" s="526"/>
      <c r="AH38" s="527"/>
      <c r="AI38" t="s">
        <v>358</v>
      </c>
      <c r="BE38" t="s">
        <v>208</v>
      </c>
      <c r="BH38" s="235"/>
      <c r="BP38" s="384">
        <v>7.0000000000000007E-2</v>
      </c>
      <c r="BQ38" s="381">
        <v>0.08</v>
      </c>
      <c r="BR38" s="380" t="s">
        <v>232</v>
      </c>
      <c r="BW38" s="85">
        <f>LN(1-BQ34)</f>
        <v>-6.0180723255630212E-3</v>
      </c>
      <c r="BX38" s="442" t="s">
        <v>210</v>
      </c>
      <c r="CE38" s="30"/>
      <c r="CF38" s="30"/>
      <c r="CH38" s="58"/>
      <c r="CI38"/>
      <c r="CJ38"/>
      <c r="CK38" s="55"/>
      <c r="CR38" s="37"/>
      <c r="CS38" s="14"/>
      <c r="CT38" s="450"/>
      <c r="CU38" s="450"/>
      <c r="CV38" s="450"/>
      <c r="CW38" s="450"/>
      <c r="CX38" s="380"/>
      <c r="CY38" s="255"/>
      <c r="DM38" s="31"/>
      <c r="EJ38" s="272">
        <f t="shared" si="73"/>
        <v>40617</v>
      </c>
      <c r="EP38" s="162">
        <f>EJ9</f>
        <v>33.352453952260227</v>
      </c>
      <c r="EQ38" s="17">
        <f t="shared" si="74"/>
        <v>30.473585724051489</v>
      </c>
      <c r="ER38" s="17">
        <f t="shared" si="74"/>
        <v>27.843211423373624</v>
      </c>
      <c r="ES38" s="17">
        <f t="shared" si="74"/>
        <v>25.439881915662337</v>
      </c>
      <c r="ET38" s="17">
        <f t="shared" si="74"/>
        <v>23.243999481307931</v>
      </c>
      <c r="EU38" s="164">
        <f t="shared" si="74"/>
        <v>21.237658007933284</v>
      </c>
      <c r="EV38" s="164">
        <f t="shared" si="74"/>
        <v>19.404496976720505</v>
      </c>
      <c r="EW38" s="164">
        <f t="shared" si="74"/>
        <v>17.72956805213181</v>
      </c>
      <c r="EX38" s="164">
        <f t="shared" si="74"/>
        <v>16.199213187143293</v>
      </c>
      <c r="EY38" s="164">
        <f t="shared" si="74"/>
        <v>14.800953250012446</v>
      </c>
      <c r="EZ38" s="164">
        <f t="shared" si="74"/>
        <v>13.5233862643971</v>
      </c>
      <c r="FA38" s="164">
        <f t="shared" si="74"/>
        <v>12.356094433034601</v>
      </c>
      <c r="FB38" s="164">
        <f t="shared" si="74"/>
        <v>11.289559186814747</v>
      </c>
      <c r="FC38" s="164">
        <f t="shared" si="75"/>
        <v>10.315083566522331</v>
      </c>
      <c r="FD38" s="164">
        <f t="shared" si="75"/>
        <v>9.4247213043186289</v>
      </c>
      <c r="FE38" s="164">
        <f t="shared" si="75"/>
        <v>8.6112120266636278</v>
      </c>
      <c r="FF38" s="164">
        <f t="shared" si="75"/>
        <v>7.867922050297409</v>
      </c>
      <c r="FG38" s="164">
        <f t="shared" si="75"/>
        <v>7.1887902885072341</v>
      </c>
      <c r="FH38" s="164">
        <f t="shared" si="75"/>
        <v>6.5682788265781635</v>
      </c>
    </row>
    <row r="39" spans="2:164" ht="13" customHeight="1" x14ac:dyDescent="0.4">
      <c r="B39" s="565" t="str">
        <f>'Colony Type'!B198</f>
        <v>R: Randy's California hives, split 4 ways after almonds and oxalic'd (enter a total 90% mite reduction on Apr 1 from splitting 4 ways, oxalic trtmt &amp; drone frame removal)</v>
      </c>
      <c r="C39" s="565"/>
      <c r="D39" s="565"/>
      <c r="E39" s="565"/>
      <c r="F39" s="565"/>
      <c r="G39" s="565"/>
      <c r="H39" s="565"/>
      <c r="I39" s="565"/>
      <c r="J39" s="565"/>
      <c r="K39" s="565"/>
      <c r="L39" s="565"/>
      <c r="M39" s="565"/>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2" t="s">
        <v>253</v>
      </c>
      <c r="BH39" s="235"/>
      <c r="BP39" s="321">
        <f>AG49</f>
        <v>0.05</v>
      </c>
      <c r="BQ39" s="170">
        <f>IF($AG$38="custom",AH49,IF($AG$38="",BP39,"error"))</f>
        <v>0.05</v>
      </c>
      <c r="BR39" s="380" t="s">
        <v>307</v>
      </c>
      <c r="BV39" s="12"/>
      <c r="CE39" s="37"/>
      <c r="CF39" s="37"/>
      <c r="CI39" s="20"/>
      <c r="CJ39" s="20"/>
      <c r="CK39" s="99"/>
      <c r="CR39" s="37"/>
      <c r="CS39" s="14"/>
      <c r="CT39" s="450"/>
      <c r="CU39" s="450"/>
      <c r="CV39" s="450"/>
      <c r="CW39" s="450"/>
      <c r="CX39" s="380"/>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4">
      <c r="B40" s="565"/>
      <c r="C40" s="565"/>
      <c r="D40" s="565"/>
      <c r="E40" s="565"/>
      <c r="F40" s="565"/>
      <c r="G40" s="565"/>
      <c r="H40" s="565"/>
      <c r="I40" s="565"/>
      <c r="J40" s="565"/>
      <c r="K40" s="565"/>
      <c r="L40" s="565"/>
      <c r="M40" s="565"/>
      <c r="AG40" s="120">
        <v>1.45</v>
      </c>
      <c r="AH40" s="318">
        <v>0.73</v>
      </c>
      <c r="AI40" s="380" t="s">
        <v>338</v>
      </c>
      <c r="AZ40" s="464" t="s">
        <v>208</v>
      </c>
      <c r="BA40" s="528">
        <f>IF(AG38="custom", AH40*AH41,AG40*AG41)</f>
        <v>1.0149999999999999</v>
      </c>
      <c r="BB40" s="549" t="s">
        <v>194</v>
      </c>
      <c r="BC40" s="550"/>
      <c r="BD40" s="550"/>
      <c r="BE40" s="550"/>
      <c r="BF40" s="550"/>
      <c r="BG40" s="551"/>
      <c r="BH40" s="235"/>
      <c r="CE40" s="37"/>
      <c r="CF40" s="37"/>
      <c r="CI40" s="12"/>
      <c r="CJ40" s="12"/>
      <c r="CK40" s="55"/>
      <c r="CR40" s="37"/>
      <c r="CS40" s="14"/>
      <c r="CT40" s="450"/>
      <c r="CU40" s="450"/>
      <c r="CV40" s="450"/>
      <c r="CW40" s="450"/>
      <c r="CX40" s="380"/>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4">
      <c r="B41" s="565" t="str">
        <f>'Colony Type'!B226</f>
        <v>S: Colony swarming in May--enter a 50-60% "treatment" reduction of mites on 15 May</v>
      </c>
      <c r="C41" s="565"/>
      <c r="D41" s="565"/>
      <c r="E41" s="565"/>
      <c r="F41" s="565"/>
      <c r="G41" s="565"/>
      <c r="H41" s="565"/>
      <c r="I41" s="565"/>
      <c r="J41" s="565"/>
      <c r="K41" s="565"/>
      <c r="L41" s="565"/>
      <c r="M41" s="565"/>
      <c r="AG41" s="110">
        <v>0.7</v>
      </c>
      <c r="AH41" s="250">
        <v>0.7</v>
      </c>
      <c r="AI41" s="234" t="s">
        <v>225</v>
      </c>
      <c r="AW41" s="616" t="s">
        <v>208</v>
      </c>
      <c r="AX41" s="616"/>
      <c r="AY41" s="469"/>
      <c r="BA41" s="528"/>
      <c r="BB41" s="552"/>
      <c r="BC41" s="553"/>
      <c r="BD41" s="553"/>
      <c r="BE41" s="553"/>
      <c r="BF41" s="553"/>
      <c r="BG41" s="554"/>
      <c r="BH41" s="449"/>
      <c r="BI41" s="449"/>
      <c r="BJ41" s="449"/>
      <c r="BK41" s="449"/>
      <c r="BP41" s="87">
        <v>5</v>
      </c>
      <c r="BQ41" s="61">
        <f>IF($AG$38="custom",AH48,IF($AG$38="",BP41,"error"))</f>
        <v>5</v>
      </c>
      <c r="BR41" t="s">
        <v>6</v>
      </c>
      <c r="CE41" s="37"/>
      <c r="CF41" s="37"/>
      <c r="CI41"/>
      <c r="CJ41"/>
      <c r="CK41" s="55"/>
      <c r="CR41" s="37"/>
      <c r="CS41" s="14"/>
      <c r="CT41" s="450"/>
      <c r="CU41" s="450"/>
      <c r="CV41" s="450"/>
      <c r="CW41" s="450"/>
      <c r="CX41" s="380"/>
      <c r="CY41" s="255"/>
      <c r="DM41" s="31"/>
      <c r="EJ41" s="272">
        <f t="shared" si="73"/>
        <v>40664</v>
      </c>
      <c r="EL41" s="163" t="s">
        <v>185</v>
      </c>
      <c r="EM41" s="163"/>
      <c r="EN41" s="163"/>
      <c r="EO41" s="163"/>
      <c r="ES41" s="162">
        <f>EJ12</f>
        <v>36.657561528891137</v>
      </c>
      <c r="ET41" s="17">
        <f t="shared" si="74"/>
        <v>33.493407869907372</v>
      </c>
      <c r="EU41" s="17">
        <f t="shared" si="74"/>
        <v>30.602372988062388</v>
      </c>
      <c r="EV41" s="17">
        <f t="shared" si="74"/>
        <v>27.960882217121505</v>
      </c>
      <c r="EW41" s="17">
        <f t="shared" si="74"/>
        <v>25.547395774331505</v>
      </c>
      <c r="EX41" s="164">
        <f t="shared" si="74"/>
        <v>23.342233116331254</v>
      </c>
      <c r="EY41" s="164">
        <f t="shared" si="74"/>
        <v>21.327412456051356</v>
      </c>
      <c r="EZ41" s="164">
        <f t="shared" si="74"/>
        <v>19.486504131958799</v>
      </c>
      <c r="FA41" s="164">
        <f t="shared" si="74"/>
        <v>17.804496633960206</v>
      </c>
      <c r="FB41" s="164">
        <f t="shared" si="74"/>
        <v>16.267674193484762</v>
      </c>
      <c r="FC41" s="164">
        <f t="shared" si="75"/>
        <v>14.863504939566917</v>
      </c>
      <c r="FD41" s="164">
        <f t="shared" si="75"/>
        <v>13.580538708908406</v>
      </c>
      <c r="FE41" s="164">
        <f t="shared" si="75"/>
        <v>12.408313676621514</v>
      </c>
      <c r="FF41" s="164">
        <f t="shared" si="75"/>
        <v>11.33727104628298</v>
      </c>
      <c r="FG41" s="164">
        <f t="shared" si="75"/>
        <v>10.358677103646773</v>
      </c>
      <c r="FH41" s="164">
        <f t="shared" si="75"/>
        <v>9.4645519984102187</v>
      </c>
    </row>
    <row r="42" spans="2:164" ht="13" customHeight="1" x14ac:dyDescent="0.3">
      <c r="B42" s="580" t="str">
        <f>'Colony Type'!B254</f>
        <v xml:space="preserve">F: Feral hive restricted to a 40-liter cavity (1 Langstroth deep), swarming twice </v>
      </c>
      <c r="C42" s="580"/>
      <c r="D42" s="580"/>
      <c r="E42" s="580"/>
      <c r="F42" s="580"/>
      <c r="G42" s="580"/>
      <c r="H42" s="580"/>
      <c r="I42" s="580"/>
      <c r="J42" s="580"/>
      <c r="K42" s="580"/>
      <c r="L42" s="580"/>
      <c r="M42" s="580"/>
      <c r="AG42" s="120">
        <v>3.5</v>
      </c>
      <c r="AH42" s="318">
        <v>1.75</v>
      </c>
      <c r="AI42" s="380" t="s">
        <v>197</v>
      </c>
      <c r="AJ42" s="12"/>
      <c r="AK42" s="12"/>
      <c r="AL42" s="12"/>
      <c r="AM42" s="12"/>
      <c r="AN42" s="12"/>
      <c r="AO42" s="12"/>
      <c r="AP42" s="12"/>
      <c r="AT42" s="530" t="s">
        <v>195</v>
      </c>
      <c r="AU42" s="617" t="s">
        <v>196</v>
      </c>
      <c r="AV42" s="617"/>
      <c r="AW42" s="617"/>
      <c r="AX42" s="617"/>
      <c r="AY42" s="617"/>
      <c r="AZ42" s="618"/>
      <c r="BB42" s="555"/>
      <c r="BC42" s="556"/>
      <c r="BD42" s="556"/>
      <c r="BE42" s="556"/>
      <c r="BF42" s="556"/>
      <c r="BG42" s="557"/>
      <c r="BP42" s="87">
        <v>5</v>
      </c>
      <c r="BQ42" s="61">
        <f>IF($AG$38="custom",$AH$47,IF($AG$38="",BP42,"error"))</f>
        <v>5</v>
      </c>
      <c r="BR42" t="s">
        <v>282</v>
      </c>
      <c r="CE42" s="37"/>
      <c r="CF42" s="37"/>
      <c r="CI42"/>
      <c r="CJ42"/>
      <c r="CK42" s="55"/>
      <c r="CR42" s="37"/>
      <c r="CS42" s="14"/>
      <c r="CT42" s="450"/>
      <c r="CU42" s="450"/>
      <c r="CV42" s="450"/>
      <c r="CW42" s="450"/>
      <c r="CX42" s="380"/>
      <c r="CY42" s="255"/>
      <c r="DM42" s="31"/>
      <c r="EJ42" s="272">
        <f t="shared" si="73"/>
        <v>40678</v>
      </c>
      <c r="ET42" s="162">
        <f>EJ13</f>
        <v>40.738091193351011</v>
      </c>
      <c r="EU42" s="17">
        <f t="shared" si="74"/>
        <v>37.221720356522056</v>
      </c>
      <c r="EV42" s="17">
        <f t="shared" si="74"/>
        <v>34.008870462866781</v>
      </c>
      <c r="EW42" s="17">
        <f t="shared" si="74"/>
        <v>31.073342636549857</v>
      </c>
      <c r="EX42" s="17">
        <f t="shared" si="74"/>
        <v>28.391199397894844</v>
      </c>
      <c r="EY42" s="164">
        <f t="shared" si="74"/>
        <v>25.940569467505583</v>
      </c>
      <c r="EZ42" s="164">
        <f t="shared" si="74"/>
        <v>23.701469419019265</v>
      </c>
      <c r="FA42" s="164">
        <f t="shared" si="74"/>
        <v>21.655640726175765</v>
      </c>
      <c r="FB42" s="164">
        <f t="shared" si="74"/>
        <v>19.786400875419123</v>
      </c>
      <c r="FC42" s="164">
        <f t="shared" si="75"/>
        <v>18.078507329943275</v>
      </c>
      <c r="FD42" s="164">
        <f t="shared" si="75"/>
        <v>16.518033235889831</v>
      </c>
      <c r="FE42" s="164">
        <f t="shared" si="75"/>
        <v>15.092253857156093</v>
      </c>
      <c r="FF42" s="164">
        <f t="shared" si="75"/>
        <v>13.789542812756823</v>
      </c>
      <c r="FG42" s="164">
        <f t="shared" si="75"/>
        <v>12.599277270617321</v>
      </c>
      <c r="FH42" s="164">
        <f t="shared" si="75"/>
        <v>11.511751324709683</v>
      </c>
    </row>
    <row r="43" spans="2:164" ht="13" customHeight="1" x14ac:dyDescent="0.3">
      <c r="B43" s="565" t="s">
        <v>353</v>
      </c>
      <c r="C43" s="565"/>
      <c r="D43" s="565"/>
      <c r="E43" s="565"/>
      <c r="F43" s="565"/>
      <c r="G43" s="565"/>
      <c r="H43" s="565"/>
      <c r="I43" s="565"/>
      <c r="J43" s="565"/>
      <c r="K43" s="565"/>
      <c r="L43" s="565"/>
      <c r="M43" s="565"/>
      <c r="AG43" s="110">
        <v>0.7</v>
      </c>
      <c r="AH43" s="250">
        <v>0.7</v>
      </c>
      <c r="AI43" s="380" t="s">
        <v>226</v>
      </c>
      <c r="AT43" s="531"/>
      <c r="AU43" s="619"/>
      <c r="AV43" s="619"/>
      <c r="AW43" s="619"/>
      <c r="AX43" s="619"/>
      <c r="AY43" s="619"/>
      <c r="AZ43" s="620"/>
      <c r="BP43" s="87">
        <v>4500</v>
      </c>
      <c r="BQ43" s="61">
        <v>4500</v>
      </c>
      <c r="BR43" s="23" t="s">
        <v>13</v>
      </c>
      <c r="CE43" s="37"/>
      <c r="CF43" s="37"/>
      <c r="CI43"/>
      <c r="CJ43"/>
      <c r="CK43" s="55"/>
      <c r="CR43" s="37"/>
      <c r="CS43" s="14"/>
      <c r="CT43" s="450"/>
      <c r="CU43" s="450"/>
      <c r="CV43" s="450"/>
      <c r="CW43" s="450"/>
      <c r="CX43" s="380"/>
      <c r="CY43" s="255"/>
      <c r="DM43" s="31"/>
      <c r="EJ43" s="272">
        <f t="shared" si="73"/>
        <v>40695</v>
      </c>
      <c r="EU43" s="162">
        <f>EJ14</f>
        <v>46.161013916223446</v>
      </c>
      <c r="EV43" s="17">
        <f t="shared" si="74"/>
        <v>42.17655518537461</v>
      </c>
      <c r="EW43" s="17">
        <f t="shared" si="74"/>
        <v>38.536021122355869</v>
      </c>
      <c r="EX43" s="17">
        <f t="shared" si="74"/>
        <v>35.209725341855645</v>
      </c>
      <c r="EY43" s="17">
        <f t="shared" si="74"/>
        <v>32.170543884451817</v>
      </c>
      <c r="EZ43" s="164">
        <f t="shared" si="74"/>
        <v>29.393694036890093</v>
      </c>
      <c r="FA43" s="164">
        <f t="shared" si="74"/>
        <v>26.856532243829374</v>
      </c>
      <c r="FB43" s="164">
        <f t="shared" si="74"/>
        <v>24.538369463144853</v>
      </c>
      <c r="FC43" s="164">
        <f t="shared" si="75"/>
        <v>22.420302459121363</v>
      </c>
      <c r="FD43" s="164">
        <f t="shared" si="75"/>
        <v>20.485059657833553</v>
      </c>
      <c r="FE43" s="164">
        <f t="shared" si="75"/>
        <v>18.716860307755415</v>
      </c>
      <c r="FF43" s="164">
        <f t="shared" si="75"/>
        <v>17.10128579713783</v>
      </c>
      <c r="FG43" s="164">
        <f t="shared" si="75"/>
        <v>15.625162078824111</v>
      </c>
      <c r="FH43" s="164">
        <f t="shared" si="75"/>
        <v>14.276452243747933</v>
      </c>
    </row>
    <row r="44" spans="2:164" ht="26" customHeight="1" x14ac:dyDescent="0.4">
      <c r="AG44" s="121">
        <v>5.0000000000000001E-3</v>
      </c>
      <c r="AH44" s="252">
        <v>5.0000000000000001E-3</v>
      </c>
      <c r="AI44" s="380" t="s">
        <v>327</v>
      </c>
      <c r="BE44" s="349" t="s">
        <v>208</v>
      </c>
      <c r="BL44" s="380"/>
      <c r="BM44" s="380"/>
      <c r="BN44" s="255"/>
      <c r="BP44" s="87">
        <v>2000</v>
      </c>
      <c r="BQ44" s="61">
        <v>2000</v>
      </c>
      <c r="BR44" s="442" t="s">
        <v>14</v>
      </c>
      <c r="CE44" s="37"/>
      <c r="CF44" s="37"/>
      <c r="CI44"/>
      <c r="CJ44"/>
      <c r="CK44" s="55"/>
      <c r="CR44" s="37"/>
      <c r="CS44" s="19"/>
      <c r="CT44" s="380"/>
      <c r="CU44" s="380"/>
      <c r="CV44" s="380"/>
      <c r="CW44" s="380"/>
      <c r="CX44" s="380"/>
      <c r="DM44" s="31"/>
      <c r="EJ44" s="272">
        <f t="shared" si="73"/>
        <v>40709</v>
      </c>
      <c r="EV44" s="162">
        <f>EJ15</f>
        <v>66.869438810321412</v>
      </c>
      <c r="EW44" s="17">
        <f t="shared" si="74"/>
        <v>61.097500616366219</v>
      </c>
      <c r="EX44" s="17">
        <f t="shared" si="74"/>
        <v>55.823776122234932</v>
      </c>
      <c r="EY44" s="17">
        <f t="shared" si="74"/>
        <v>51.005261248127781</v>
      </c>
      <c r="EZ44" s="17">
        <f t="shared" si="74"/>
        <v>46.602663877364584</v>
      </c>
      <c r="FA44" s="164">
        <f t="shared" si="74"/>
        <v>42.580083452593648</v>
      </c>
      <c r="FB44" s="164">
        <f t="shared" si="74"/>
        <v>38.904718228145406</v>
      </c>
      <c r="FC44" s="164">
        <f t="shared" si="75"/>
        <v>35.546597791348248</v>
      </c>
      <c r="FD44" s="164">
        <f>FC44*(1-FC$32)*EXP($BW$38*15)</f>
        <v>32.478338671677314</v>
      </c>
      <c r="FE44" s="164">
        <f t="shared" si="75"/>
        <v>29.674921044874512</v>
      </c>
      <c r="FF44" s="164">
        <f t="shared" si="75"/>
        <v>27.113484711195003</v>
      </c>
      <c r="FG44" s="164">
        <f t="shared" si="75"/>
        <v>24.773142684104279</v>
      </c>
      <c r="FH44" s="164">
        <f t="shared" si="75"/>
        <v>22.634810869352865</v>
      </c>
    </row>
    <row r="45" spans="2:164" x14ac:dyDescent="0.4">
      <c r="B45" s="587" t="s">
        <v>349</v>
      </c>
      <c r="C45" s="587"/>
      <c r="D45" s="587"/>
      <c r="E45" s="587"/>
      <c r="F45" s="587"/>
      <c r="G45" s="587"/>
      <c r="H45" s="587"/>
      <c r="AG45" s="121">
        <v>6.0000000000000001E-3</v>
      </c>
      <c r="AH45" s="252">
        <v>6.0000000000000001E-3</v>
      </c>
      <c r="AI45" s="380" t="s">
        <v>328</v>
      </c>
      <c r="AO45" s="12"/>
      <c r="AP45" s="12"/>
      <c r="AQ45" s="12"/>
      <c r="AR45" s="12"/>
      <c r="BA45" s="12"/>
      <c r="BB45" s="340" t="s">
        <v>208</v>
      </c>
      <c r="BC45" s="44"/>
      <c r="BD45" s="12"/>
      <c r="BL45" s="380"/>
      <c r="BM45" s="380"/>
      <c r="BP45" s="87"/>
      <c r="BQ45" s="61"/>
      <c r="BZ45" s="451"/>
      <c r="CE45" s="37"/>
      <c r="CF45" s="37"/>
      <c r="CI45"/>
      <c r="CJ45"/>
      <c r="CK45" s="55"/>
      <c r="CM45" s="14"/>
      <c r="CR45" s="37"/>
      <c r="CS45" s="19"/>
      <c r="CT45" s="380"/>
      <c r="CU45" s="380"/>
      <c r="CV45" s="380"/>
      <c r="CW45" s="380"/>
      <c r="CX45" s="380"/>
      <c r="DM45" s="31"/>
      <c r="EJ45" s="272">
        <f t="shared" si="73"/>
        <v>40725</v>
      </c>
      <c r="EW45" s="162">
        <f>EJ16</f>
        <v>71.775491637313266</v>
      </c>
      <c r="EX45" s="17">
        <f t="shared" si="74"/>
        <v>65.580079967320685</v>
      </c>
      <c r="EY45" s="17">
        <f t="shared" si="74"/>
        <v>59.9194347598782</v>
      </c>
      <c r="EZ45" s="17">
        <f t="shared" si="74"/>
        <v>54.747396827396486</v>
      </c>
      <c r="FA45" s="17">
        <f t="shared" si="74"/>
        <v>50.021791283374839</v>
      </c>
      <c r="FB45" s="164">
        <f t="shared" si="74"/>
        <v>45.704083631340509</v>
      </c>
      <c r="FC45" s="164">
        <f t="shared" si="75"/>
        <v>41.759065538998769</v>
      </c>
      <c r="FD45" s="164">
        <f t="shared" si="75"/>
        <v>38.15456773526931</v>
      </c>
      <c r="FE45" s="164">
        <f t="shared" si="75"/>
        <v>34.861197689055324</v>
      </c>
      <c r="FF45" s="164">
        <f t="shared" si="75"/>
        <v>31.852099930672118</v>
      </c>
      <c r="FG45" s="164">
        <f t="shared" si="75"/>
        <v>29.102737061499262</v>
      </c>
      <c r="FH45" s="164">
        <f t="shared" si="75"/>
        <v>26.590689666120568</v>
      </c>
    </row>
    <row r="46" spans="2:164" x14ac:dyDescent="0.4">
      <c r="B46" s="411">
        <v>0</v>
      </c>
      <c r="C46" s="586" t="s">
        <v>288</v>
      </c>
      <c r="D46" s="586"/>
      <c r="E46" s="586"/>
      <c r="F46" s="586"/>
      <c r="G46" s="586"/>
      <c r="H46" s="586"/>
      <c r="AG46" s="110">
        <v>0.6</v>
      </c>
      <c r="AH46" s="250">
        <v>0.6</v>
      </c>
      <c r="AI46" s="380" t="s">
        <v>332</v>
      </c>
      <c r="BG46" s="451" t="s">
        <v>208</v>
      </c>
      <c r="BL46" s="380"/>
      <c r="BM46" s="380"/>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94.778915804260578</v>
      </c>
      <c r="EY46" s="17">
        <f t="shared" si="74"/>
        <v>86.597928288214064</v>
      </c>
      <c r="EZ46" s="17">
        <f t="shared" si="74"/>
        <v>79.123095259901206</v>
      </c>
      <c r="FA46" s="17">
        <f t="shared" si="74"/>
        <v>72.293463911416083</v>
      </c>
      <c r="FB46" s="17">
        <f t="shared" si="74"/>
        <v>66.053342669973617</v>
      </c>
      <c r="FC46" s="164">
        <f t="shared" si="75"/>
        <v>60.351847066328986</v>
      </c>
      <c r="FD46" s="164">
        <f t="shared" si="75"/>
        <v>55.142484802261066</v>
      </c>
      <c r="FE46" s="164">
        <f t="shared" si="75"/>
        <v>50.382776633592577</v>
      </c>
      <c r="FF46" s="164">
        <f t="shared" si="75"/>
        <v>46.033909977273936</v>
      </c>
      <c r="FG46" s="164">
        <f t="shared" si="75"/>
        <v>42.060422417903084</v>
      </c>
      <c r="FH46" s="164">
        <f t="shared" si="75"/>
        <v>38.429912532865551</v>
      </c>
    </row>
    <row r="47" spans="2:164" x14ac:dyDescent="0.4">
      <c r="B47" s="460">
        <v>1</v>
      </c>
      <c r="C47" s="586" t="s">
        <v>289</v>
      </c>
      <c r="D47" s="586"/>
      <c r="E47" s="586"/>
      <c r="F47" s="586"/>
      <c r="G47" s="586"/>
      <c r="H47" s="586"/>
      <c r="AG47" s="9">
        <v>4.5</v>
      </c>
      <c r="AH47" s="251">
        <v>5</v>
      </c>
      <c r="AI47" t="s">
        <v>198</v>
      </c>
      <c r="AO47" s="7"/>
      <c r="AZ47" s="44"/>
      <c r="BF47" s="451" t="s">
        <v>208</v>
      </c>
      <c r="CE47" s="37"/>
      <c r="CF47" s="37"/>
      <c r="CI47"/>
      <c r="CJ47"/>
      <c r="CK47" s="55"/>
      <c r="CM47" s="14"/>
      <c r="DM47" s="31"/>
      <c r="EJ47" s="272">
        <f t="shared" si="73"/>
        <v>40756</v>
      </c>
      <c r="EY47" s="162">
        <f>EJ18</f>
        <v>127.17197737527252</v>
      </c>
      <c r="EZ47" s="17">
        <f t="shared" si="74"/>
        <v>116.194933056189</v>
      </c>
      <c r="FA47" s="17">
        <f t="shared" si="74"/>
        <v>106.165389157167</v>
      </c>
      <c r="FB47" s="17">
        <f t="shared" si="74"/>
        <v>97.001560725907822</v>
      </c>
      <c r="FC47" s="17">
        <f t="shared" si="75"/>
        <v>88.628722203735094</v>
      </c>
      <c r="FD47" s="164">
        <f t="shared" si="75"/>
        <v>80.978598083204517</v>
      </c>
      <c r="FE47" s="164">
        <f t="shared" si="75"/>
        <v>73.988806162036923</v>
      </c>
      <c r="FF47" s="164">
        <f t="shared" si="75"/>
        <v>67.602348853442152</v>
      </c>
      <c r="FG47" s="164">
        <f t="shared" si="75"/>
        <v>61.767148404772641</v>
      </c>
      <c r="FH47" s="164">
        <f t="shared" si="75"/>
        <v>56.435622234492037</v>
      </c>
    </row>
    <row r="48" spans="2:164" ht="13" customHeight="1" x14ac:dyDescent="0.4">
      <c r="B48" s="460">
        <v>2</v>
      </c>
      <c r="C48" s="586" t="s">
        <v>291</v>
      </c>
      <c r="D48" s="586"/>
      <c r="E48" s="586"/>
      <c r="F48" s="586"/>
      <c r="G48" s="586"/>
      <c r="H48" s="586"/>
      <c r="AG48" s="9">
        <v>5</v>
      </c>
      <c r="AH48" s="319">
        <v>5</v>
      </c>
      <c r="AI48" s="442" t="s">
        <v>252</v>
      </c>
      <c r="AJ48" s="234"/>
      <c r="AK48" s="12"/>
      <c r="AL48" s="12"/>
      <c r="AM48" s="12"/>
      <c r="AN48" s="12"/>
      <c r="AO48" s="12"/>
      <c r="AP48" s="12"/>
      <c r="AQ48" s="12"/>
      <c r="AR48" s="12"/>
      <c r="AS48" s="12"/>
      <c r="AT48" s="12"/>
      <c r="AU48" s="12"/>
      <c r="AV48" s="12"/>
      <c r="AW48" s="12"/>
      <c r="AX48" s="12"/>
      <c r="AY48" s="473"/>
      <c r="AZ48" s="44"/>
      <c r="BD48" s="275" t="s">
        <v>208</v>
      </c>
      <c r="BP48" s="6" t="s">
        <v>15</v>
      </c>
      <c r="BX48"/>
      <c r="BY48"/>
      <c r="BZ48"/>
      <c r="CA48"/>
      <c r="CB48"/>
      <c r="CE48" s="37"/>
      <c r="CF48" s="37"/>
      <c r="CI48"/>
      <c r="CJ48"/>
      <c r="CK48" s="55"/>
      <c r="CM48" s="143"/>
      <c r="DM48" s="31"/>
      <c r="EJ48" s="272">
        <f t="shared" si="73"/>
        <v>40770</v>
      </c>
      <c r="EZ48" s="162">
        <f>EJ19</f>
        <v>167.07675155205888</v>
      </c>
      <c r="FA48" s="17">
        <f t="shared" si="74"/>
        <v>152.65526543280583</v>
      </c>
      <c r="FB48" s="17">
        <f t="shared" si="74"/>
        <v>139.47859201164385</v>
      </c>
      <c r="FC48" s="17">
        <f t="shared" si="75"/>
        <v>127.43928337089542</v>
      </c>
      <c r="FD48" s="17">
        <f t="shared" si="75"/>
        <v>116.43916612473105</v>
      </c>
      <c r="FE48" s="164">
        <f t="shared" si="75"/>
        <v>106.38854087372486</v>
      </c>
      <c r="FF48" s="164">
        <f t="shared" si="75"/>
        <v>97.205450759718502</v>
      </c>
      <c r="FG48" s="164">
        <f t="shared" si="75"/>
        <v>88.815013156493862</v>
      </c>
      <c r="FH48" s="164">
        <f t="shared" si="75"/>
        <v>81.148809046590756</v>
      </c>
    </row>
    <row r="49" spans="2:164" x14ac:dyDescent="0.4">
      <c r="B49" s="460">
        <v>3</v>
      </c>
      <c r="C49" s="586" t="s">
        <v>290</v>
      </c>
      <c r="D49" s="586"/>
      <c r="E49" s="586"/>
      <c r="F49" s="586"/>
      <c r="G49" s="586"/>
      <c r="H49" s="586"/>
      <c r="AG49" s="322">
        <v>0.05</v>
      </c>
      <c r="AH49" s="338">
        <v>0.05</v>
      </c>
      <c r="AI49" s="380" t="s">
        <v>335</v>
      </c>
      <c r="BP49" s="255" t="s">
        <v>16</v>
      </c>
      <c r="BQ49" t="s">
        <v>117</v>
      </c>
      <c r="BX49"/>
      <c r="BY49"/>
      <c r="BZ49"/>
      <c r="CA49"/>
      <c r="CB49" s="42"/>
      <c r="CI49"/>
      <c r="CJ49"/>
      <c r="CK49" s="55"/>
      <c r="CM49" s="14"/>
      <c r="DM49" s="31"/>
      <c r="DP49" s="95"/>
      <c r="DQ49" s="389"/>
      <c r="DR49" s="95"/>
      <c r="EJ49" s="272">
        <f t="shared" si="73"/>
        <v>40787</v>
      </c>
      <c r="FA49" s="162">
        <f>EJ20</f>
        <v>214.7155475483176</v>
      </c>
      <c r="FB49" s="17">
        <f t="shared" ref="FB49:FH50" si="76">FA49*(1-FA$32)*EXP($BW$38*15)</f>
        <v>196.18204567094213</v>
      </c>
      <c r="FC49" s="17">
        <f t="shared" si="76"/>
        <v>179.24829143997957</v>
      </c>
      <c r="FD49" s="17">
        <f t="shared" si="76"/>
        <v>163.77620018318953</v>
      </c>
      <c r="FE49" s="164">
        <f t="shared" si="76"/>
        <v>149.63960621864899</v>
      </c>
      <c r="FF49" s="164">
        <f t="shared" si="76"/>
        <v>136.72323404881826</v>
      </c>
      <c r="FG49" s="164">
        <f t="shared" si="76"/>
        <v>124.92175835756957</v>
      </c>
      <c r="FH49" s="164">
        <f t="shared" si="76"/>
        <v>114.13894514501419</v>
      </c>
    </row>
    <row r="50" spans="2:164" x14ac:dyDescent="0.4">
      <c r="B50" s="460">
        <v>4</v>
      </c>
      <c r="C50" s="585" t="s">
        <v>292</v>
      </c>
      <c r="D50" s="585"/>
      <c r="E50" s="585"/>
      <c r="F50" s="585"/>
      <c r="G50" s="585"/>
      <c r="H50" s="585"/>
      <c r="AI50" s="380"/>
      <c r="AR50" s="255"/>
      <c r="AS50" s="255"/>
      <c r="BX50"/>
      <c r="BY50"/>
      <c r="BZ50"/>
      <c r="CA50" s="18"/>
      <c r="CB50" s="18"/>
      <c r="CI50"/>
      <c r="CJ50"/>
      <c r="CK50" s="55"/>
      <c r="CM50" s="14"/>
      <c r="DM50" s="31"/>
      <c r="DP50" s="95"/>
      <c r="DQ50" s="389"/>
      <c r="DR50" s="95"/>
      <c r="EJ50" s="272">
        <f t="shared" si="73"/>
        <v>40801</v>
      </c>
      <c r="FB50" s="162">
        <f>EJ21</f>
        <v>266.23584822784903</v>
      </c>
      <c r="FC50" s="17">
        <f t="shared" si="76"/>
        <v>243.25529256107725</v>
      </c>
      <c r="FD50" s="17">
        <f t="shared" si="76"/>
        <v>222.25833881068465</v>
      </c>
      <c r="FE50" s="17">
        <f t="shared" si="76"/>
        <v>203.0737693342557</v>
      </c>
      <c r="FF50" s="164">
        <f t="shared" si="76"/>
        <v>185.54514540284148</v>
      </c>
      <c r="FG50" s="164">
        <f t="shared" si="76"/>
        <v>169.52953153637179</v>
      </c>
      <c r="FH50" s="164">
        <f t="shared" si="76"/>
        <v>154.89632995001301</v>
      </c>
    </row>
    <row r="51" spans="2:164" x14ac:dyDescent="0.4">
      <c r="B51" s="460" t="s">
        <v>320</v>
      </c>
      <c r="C51" s="584" t="s">
        <v>370</v>
      </c>
      <c r="D51" s="584"/>
      <c r="E51" s="584"/>
      <c r="F51" s="584"/>
      <c r="G51" s="584"/>
      <c r="H51" s="584"/>
      <c r="I51" s="584"/>
      <c r="J51" s="584"/>
      <c r="AI51" s="380"/>
      <c r="BC51" s="299"/>
      <c r="BD51" s="131"/>
      <c r="BE51" t="s">
        <v>337</v>
      </c>
      <c r="BP51" s="6" t="s">
        <v>18</v>
      </c>
      <c r="CI51"/>
      <c r="CJ51"/>
      <c r="CK51" s="55"/>
      <c r="CM51" s="14"/>
      <c r="DM51" s="31"/>
      <c r="DN51" s="448"/>
      <c r="DP51" s="95"/>
      <c r="DQ51" s="389"/>
      <c r="DR51" s="95"/>
      <c r="EI51" s="448"/>
      <c r="EJ51" s="272">
        <f t="shared" si="73"/>
        <v>40817</v>
      </c>
      <c r="FC51" s="162">
        <f>EJ22</f>
        <v>213.80499407855297</v>
      </c>
      <c r="FD51" s="17">
        <f>FC51*(1-FC$32)*EXP($BW$38*15)</f>
        <v>195.35008802078173</v>
      </c>
      <c r="FE51" s="17">
        <f>FD51*(1-FD$32)*EXP($BW$38*15)</f>
        <v>178.488145490682</v>
      </c>
      <c r="FF51" s="17">
        <f>FE51*(1-FE$32)*EXP($BW$38*15)</f>
        <v>163.08166739762999</v>
      </c>
      <c r="FG51" s="164">
        <f>FF51*(1-FF$32)*EXP($BW$38*15)</f>
        <v>149.00502309594359</v>
      </c>
      <c r="FH51" s="164">
        <f>FG51*(1-FG$32)*EXP($BW$38*15)</f>
        <v>136.14342594185018</v>
      </c>
    </row>
    <row r="52" spans="2:164" x14ac:dyDescent="0.4">
      <c r="BQ52" s="8"/>
      <c r="BR52" s="8"/>
      <c r="BV52" t="s">
        <v>34</v>
      </c>
      <c r="BW52" t="s">
        <v>258</v>
      </c>
      <c r="BX52" t="s">
        <v>257</v>
      </c>
      <c r="CI52"/>
      <c r="CJ52"/>
      <c r="CK52" s="55"/>
      <c r="CM52" s="14"/>
      <c r="DM52" s="31"/>
      <c r="DP52" s="95"/>
      <c r="DQ52" s="389"/>
      <c r="DR52" s="95"/>
      <c r="EI52" s="448"/>
      <c r="EJ52" s="272">
        <f t="shared" si="73"/>
        <v>40831</v>
      </c>
      <c r="FD52" s="162">
        <f>EJ23</f>
        <v>0</v>
      </c>
      <c r="FE52" s="17">
        <f>FD52*(1-FD$32)*EXP($BW$38*15)</f>
        <v>0</v>
      </c>
      <c r="FF52" s="17">
        <f>FE52*(1-FE$32)*EXP($BW$38*15)</f>
        <v>0</v>
      </c>
      <c r="FG52" s="17">
        <f>FF52*(1-FF$32)*EXP($BW$38*15)</f>
        <v>0</v>
      </c>
      <c r="FH52" s="164">
        <f>FG52*(1-FG$32)*EXP($BW$38*15)</f>
        <v>0</v>
      </c>
    </row>
    <row r="53" spans="2:164" x14ac:dyDescent="0.4">
      <c r="AK53" s="254"/>
      <c r="AL53" s="254"/>
      <c r="AM53" s="254"/>
      <c r="BE53" s="236"/>
      <c r="BF53" s="236"/>
      <c r="BG53" s="236"/>
      <c r="BH53" s="236"/>
      <c r="BL53" s="7"/>
      <c r="BM53" s="60"/>
      <c r="BN53" s="5"/>
      <c r="BP53" t="s">
        <v>20</v>
      </c>
      <c r="BQ53" s="44">
        <f>BQ29</f>
        <v>1.3774999999999999</v>
      </c>
      <c r="BR53" t="s">
        <v>21</v>
      </c>
      <c r="BV53">
        <v>0</v>
      </c>
      <c r="BW53" s="380">
        <f>BV53+12</f>
        <v>12</v>
      </c>
      <c r="BX53" s="29">
        <f>$BQ$57/BW53</f>
        <v>2.6536295761255119E-2</v>
      </c>
      <c r="CI53"/>
      <c r="CJ53"/>
      <c r="CK53" s="55"/>
      <c r="CM53" s="14"/>
      <c r="DM53" s="31"/>
      <c r="DN53" s="448"/>
      <c r="DP53" s="95"/>
      <c r="DQ53" s="389"/>
      <c r="DR53" s="95"/>
      <c r="EI53" s="448"/>
      <c r="EJ53" s="272">
        <f t="shared" si="73"/>
        <v>40848</v>
      </c>
      <c r="FE53" s="162">
        <f>EJ24</f>
        <v>0</v>
      </c>
      <c r="FF53" s="17">
        <f>FE53*(1-FE$32)*EXP($BW$38*15)</f>
        <v>0</v>
      </c>
      <c r="FG53" s="17">
        <f>FF53*(1-FF$32)*EXP($BW$38*15)</f>
        <v>0</v>
      </c>
      <c r="FH53" s="17">
        <f>FG53*(1-FG$32)*EXP($BW$38*15)</f>
        <v>0</v>
      </c>
    </row>
    <row r="54" spans="2:164" ht="13" customHeight="1" x14ac:dyDescent="0.4">
      <c r="BP54" t="s">
        <v>23</v>
      </c>
      <c r="BQ54" s="45">
        <f>BQ30</f>
        <v>0.7</v>
      </c>
      <c r="BR54" t="s">
        <v>24</v>
      </c>
      <c r="BV54">
        <v>1</v>
      </c>
      <c r="BW54" s="380">
        <f t="shared" ref="BW54:BW68" si="77">BV54+12</f>
        <v>13</v>
      </c>
      <c r="BX54" s="29">
        <f t="shared" ref="BX54:BX68" si="78">$BQ$57/BW54</f>
        <v>2.4495042241158574E-2</v>
      </c>
      <c r="CI54"/>
      <c r="CJ54"/>
      <c r="CK54" s="55"/>
      <c r="CM54" s="14"/>
      <c r="DM54" s="31"/>
      <c r="DP54"/>
      <c r="DQ54" s="457"/>
      <c r="DR54"/>
      <c r="EJ54" s="272">
        <f t="shared" si="73"/>
        <v>40862</v>
      </c>
      <c r="FF54" s="162">
        <f>EJ25</f>
        <v>0</v>
      </c>
      <c r="FG54" s="17">
        <f>FF54*(1-FF$32)*EXP($BW$38*15)</f>
        <v>0</v>
      </c>
      <c r="FH54" s="17">
        <f>FG54*(1-FG$32)*EXP($BW$38*15)</f>
        <v>0</v>
      </c>
    </row>
    <row r="55" spans="2:164" ht="13" customHeight="1" x14ac:dyDescent="0.4">
      <c r="AG55" s="522" t="s">
        <v>146</v>
      </c>
      <c r="AH55" s="522"/>
      <c r="AI55" s="12" t="s">
        <v>157</v>
      </c>
      <c r="AN55" s="6"/>
      <c r="AP55" s="6"/>
      <c r="AZ55" s="465">
        <f>(LN(BB21/BB11))/(BA21-BA11)</f>
        <v>1.2242709933999899E-2</v>
      </c>
      <c r="BO55" s="77"/>
      <c r="BP55" t="s">
        <v>23</v>
      </c>
      <c r="BQ55" s="106">
        <v>0.7</v>
      </c>
      <c r="BR55" t="s">
        <v>22</v>
      </c>
      <c r="BV55">
        <v>2</v>
      </c>
      <c r="BW55" s="380">
        <f t="shared" si="77"/>
        <v>14</v>
      </c>
      <c r="BX55" s="29">
        <f t="shared" si="78"/>
        <v>2.2745396366790103E-2</v>
      </c>
      <c r="CI55"/>
      <c r="CJ55"/>
      <c r="CK55" s="55"/>
      <c r="CM55" s="14"/>
      <c r="DM55" s="31"/>
      <c r="EJ55" s="272">
        <f t="shared" si="73"/>
        <v>40878</v>
      </c>
      <c r="FG55" s="162">
        <f>EJ26</f>
        <v>0</v>
      </c>
      <c r="FH55" s="17">
        <f>FG55*(1-FG$32)*EXP($BW$38*15)</f>
        <v>0</v>
      </c>
    </row>
    <row r="56" spans="2:164" x14ac:dyDescent="0.4">
      <c r="AG56" s="6" t="s">
        <v>158</v>
      </c>
      <c r="AK56" s="254"/>
      <c r="BK56" s="254"/>
      <c r="BL56" s="254"/>
      <c r="BM56" s="254"/>
      <c r="BN56" s="254"/>
      <c r="BO56" s="77"/>
      <c r="BP56" t="s">
        <v>105</v>
      </c>
      <c r="BQ56" s="82">
        <f>(1+($BQ$53*$BQ$54))*$BQ$55</f>
        <v>1.3749749999999998</v>
      </c>
      <c r="BR56" s="82"/>
      <c r="BV56">
        <v>3</v>
      </c>
      <c r="BW56" s="380">
        <f t="shared" si="77"/>
        <v>15</v>
      </c>
      <c r="BX56" s="29">
        <f t="shared" si="78"/>
        <v>2.1229036609004097E-2</v>
      </c>
      <c r="CI56"/>
      <c r="CJ56"/>
      <c r="CK56" s="55"/>
      <c r="DM56" s="31"/>
      <c r="EJ56" s="272">
        <f t="shared" si="73"/>
        <v>40892</v>
      </c>
      <c r="EP56" s="26"/>
      <c r="FH56" s="162">
        <f>EJ27</f>
        <v>0</v>
      </c>
    </row>
    <row r="57" spans="2:164" ht="13" customHeight="1" x14ac:dyDescent="0.4">
      <c r="AG57" t="s">
        <v>153</v>
      </c>
      <c r="AN57" s="16"/>
      <c r="BK57" s="254"/>
      <c r="BL57" s="254"/>
      <c r="BM57" s="254"/>
      <c r="BN57" s="254"/>
      <c r="BP57" s="255" t="s">
        <v>26</v>
      </c>
      <c r="BQ57" s="7">
        <f>LN(BQ56)</f>
        <v>0.31843554913506145</v>
      </c>
      <c r="BV57">
        <v>4</v>
      </c>
      <c r="BW57" s="380">
        <f t="shared" si="77"/>
        <v>16</v>
      </c>
      <c r="BX57" s="29">
        <f t="shared" si="78"/>
        <v>1.990222182094134E-2</v>
      </c>
      <c r="CI57"/>
      <c r="CJ57"/>
      <c r="CK57" s="55"/>
      <c r="DM57" s="31"/>
      <c r="EJ57" s="165" t="s">
        <v>181</v>
      </c>
      <c r="EK57" s="165"/>
      <c r="EL57" s="165"/>
      <c r="EM57" s="165"/>
      <c r="EN57" s="165"/>
      <c r="EO57" s="165"/>
      <c r="EP57" s="166">
        <f>SUM(EP33)</f>
        <v>63.67644803087736</v>
      </c>
      <c r="EQ57" s="166">
        <f>SUM(EQ33:EQ34)</f>
        <v>58.18011773435191</v>
      </c>
      <c r="ER57" s="166">
        <f>SUM(ER33:ER35)</f>
        <v>53.158211619179269</v>
      </c>
      <c r="ES57" s="166">
        <f>SUM(ES33:ES36)</f>
        <v>61.120460888049024</v>
      </c>
      <c r="ET57" s="166">
        <f>SUM(ET33:ET37)</f>
        <v>55.844754542844555</v>
      </c>
      <c r="EU57" s="166">
        <f>SUM(EU33:EU38)</f>
        <v>72.262086892113203</v>
      </c>
      <c r="EV57" s="166">
        <f>SUM(EV33:EV39)</f>
        <v>66.024674006226704</v>
      </c>
      <c r="EW57" s="166">
        <f>SUM(EW33:EW40)</f>
        <v>60.325652982273404</v>
      </c>
      <c r="EX57" s="166">
        <f>SUM(EX33:EX41)</f>
        <v>78.460784817085809</v>
      </c>
      <c r="EY57" s="166">
        <f>SUM(EY33:EY42)</f>
        <v>97.628891278014834</v>
      </c>
      <c r="EZ57" s="166">
        <f>SUM(EZ33:EZ43)</f>
        <v>118.59559779375206</v>
      </c>
      <c r="FA57" s="166">
        <f>SUM(FA33:FA44)</f>
        <v>150.93892028769014</v>
      </c>
      <c r="FB57" s="166">
        <f>SUM(FB33:FB45)</f>
        <v>183.61447946207937</v>
      </c>
      <c r="FC57" s="166">
        <f>SUM(FC33:FC46)</f>
        <v>228.11736105441079</v>
      </c>
      <c r="FD57" s="166">
        <f>SUM(FD33:FD47)</f>
        <v>289.40565916801262</v>
      </c>
      <c r="FE57" s="166">
        <f>SUM(FE33:FE48)</f>
        <v>370.81370659933111</v>
      </c>
      <c r="FF57" s="166">
        <f>SUM(FF33:FF49)</f>
        <v>475.52958670528341</v>
      </c>
      <c r="FG57" s="166">
        <f>SUM(FG33:FG50)</f>
        <v>604.01305246494792</v>
      </c>
      <c r="FH57" s="166">
        <f>SUM(FH33:FH51)</f>
        <v>688.02016517918094</v>
      </c>
    </row>
    <row r="58" spans="2:164" x14ac:dyDescent="0.4">
      <c r="AG58" t="s">
        <v>147</v>
      </c>
      <c r="BP58" s="255" t="s">
        <v>27</v>
      </c>
      <c r="BQ58" s="6">
        <f>BQ57/12</f>
        <v>2.6536295761255119E-2</v>
      </c>
      <c r="BV58">
        <v>5</v>
      </c>
      <c r="BW58" s="380">
        <f t="shared" si="77"/>
        <v>17</v>
      </c>
      <c r="BX58" s="79">
        <f t="shared" si="78"/>
        <v>1.8731502890297732E-2</v>
      </c>
      <c r="BY58" s="533" t="s">
        <v>259</v>
      </c>
      <c r="CI58"/>
      <c r="CJ58"/>
      <c r="CK58" s="55"/>
      <c r="EJ58" t="s">
        <v>182</v>
      </c>
      <c r="EK58" s="17">
        <f t="shared" ref="EK58:FH58" si="79">SUM(EK33:EK56)</f>
        <v>100</v>
      </c>
      <c r="EL58" s="17">
        <f t="shared" si="79"/>
        <v>91.368346592039458</v>
      </c>
      <c r="EM58" s="17">
        <f t="shared" si="79"/>
        <v>83.481747589630487</v>
      </c>
      <c r="EN58" s="17">
        <f t="shared" si="79"/>
        <v>95.985977198996864</v>
      </c>
      <c r="EO58" s="17">
        <f t="shared" si="79"/>
        <v>87.700800326935422</v>
      </c>
      <c r="EP58" s="17">
        <f t="shared" si="79"/>
        <v>113.48322515896706</v>
      </c>
      <c r="EQ58" s="17">
        <f t="shared" si="79"/>
        <v>103.68774648706956</v>
      </c>
      <c r="ER58" s="17">
        <f t="shared" si="79"/>
        <v>94.737779583780934</v>
      </c>
      <c r="ES58" s="17">
        <f t="shared" si="79"/>
        <v>123.2179043326025</v>
      </c>
      <c r="ET58" s="17">
        <f t="shared" si="79"/>
        <v>153.32025308741086</v>
      </c>
      <c r="EU58" s="17">
        <f t="shared" si="79"/>
        <v>186.24719415292111</v>
      </c>
      <c r="EV58" s="17">
        <f t="shared" si="79"/>
        <v>237.04042068191103</v>
      </c>
      <c r="EW58" s="17">
        <f t="shared" si="79"/>
        <v>288.3554047691901</v>
      </c>
      <c r="EX58" s="17">
        <f t="shared" si="79"/>
        <v>358.24448145065253</v>
      </c>
      <c r="EY58" s="17">
        <f t="shared" si="79"/>
        <v>454.49403683395917</v>
      </c>
      <c r="EZ58" s="17">
        <f t="shared" si="79"/>
        <v>582.34043836666228</v>
      </c>
      <c r="FA58" s="17">
        <f t="shared" si="79"/>
        <v>746.79037762077155</v>
      </c>
      <c r="FB58" s="17">
        <f t="shared" si="79"/>
        <v>948.56586876839583</v>
      </c>
      <c r="FC58" s="17">
        <f t="shared" si="79"/>
        <v>1080.493944708651</v>
      </c>
      <c r="FD58" s="17">
        <f t="shared" si="79"/>
        <v>987.2294523073997</v>
      </c>
      <c r="FE58" s="17">
        <f t="shared" si="79"/>
        <v>902.01522764291781</v>
      </c>
      <c r="FF58" s="17">
        <f t="shared" si="79"/>
        <v>824.15639950575485</v>
      </c>
      <c r="FG58" s="17">
        <f t="shared" si="79"/>
        <v>753.01807556089148</v>
      </c>
      <c r="FH58" s="17">
        <f t="shared" si="79"/>
        <v>688.02016517918094</v>
      </c>
    </row>
    <row r="59" spans="2:164" x14ac:dyDescent="0.4">
      <c r="AN59" s="86"/>
      <c r="AO59" s="86"/>
      <c r="AP59" s="86"/>
      <c r="BP59" s="255" t="s">
        <v>106</v>
      </c>
      <c r="BQ59">
        <f>BQ57/17</f>
        <v>1.8731502890297732E-2</v>
      </c>
      <c r="BR59" s="12"/>
      <c r="BV59">
        <v>6</v>
      </c>
      <c r="BW59" s="380">
        <f t="shared" si="77"/>
        <v>18</v>
      </c>
      <c r="BX59" s="79">
        <f t="shared" si="78"/>
        <v>1.7690863840836749E-2</v>
      </c>
      <c r="BY59" s="533"/>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0.56110890346727038</v>
      </c>
      <c r="EQ59" s="37">
        <f t="shared" si="80"/>
        <v>0.56110890346727027</v>
      </c>
      <c r="ER59" s="37">
        <f t="shared" si="80"/>
        <v>0.56110890346727027</v>
      </c>
      <c r="ES59" s="37">
        <f t="shared" si="80"/>
        <v>0.49603554953398948</v>
      </c>
      <c r="ET59" s="37">
        <f t="shared" si="80"/>
        <v>0.36423599242956095</v>
      </c>
      <c r="EU59" s="37">
        <f t="shared" si="80"/>
        <v>0.38799020420560704</v>
      </c>
      <c r="EV59" s="37">
        <f t="shared" si="80"/>
        <v>0.27853761740841004</v>
      </c>
      <c r="EW59" s="37">
        <f t="shared" si="80"/>
        <v>0.20920590349454415</v>
      </c>
      <c r="EX59" s="37">
        <f t="shared" si="80"/>
        <v>0.21901463631588036</v>
      </c>
      <c r="EY59" s="37">
        <f t="shared" si="80"/>
        <v>0.21480785965445287</v>
      </c>
      <c r="EZ59" s="37">
        <f t="shared" si="80"/>
        <v>0.20365337864288938</v>
      </c>
      <c r="FA59" s="37">
        <f t="shared" si="80"/>
        <v>0.20211685207912333</v>
      </c>
      <c r="FB59" s="37">
        <f t="shared" si="80"/>
        <v>0.19357061592410207</v>
      </c>
      <c r="FC59" s="37">
        <f t="shared" si="80"/>
        <v>0.21112322023787122</v>
      </c>
      <c r="FD59" s="37">
        <f t="shared" si="80"/>
        <v>0.29314933675408483</v>
      </c>
      <c r="FE59" s="37">
        <f t="shared" si="80"/>
        <v>0.41109473015030484</v>
      </c>
      <c r="FF59" s="37">
        <f t="shared" si="80"/>
        <v>0.57698949737022931</v>
      </c>
      <c r="FG59" s="37">
        <f t="shared" si="80"/>
        <v>0.80212291320503037</v>
      </c>
      <c r="FH59" s="37">
        <f t="shared" si="80"/>
        <v>0.99</v>
      </c>
    </row>
    <row r="60" spans="2:164" ht="13" customHeight="1" x14ac:dyDescent="0.3">
      <c r="AG60" s="443" t="s">
        <v>88</v>
      </c>
      <c r="AH60" s="256" t="s">
        <v>148</v>
      </c>
      <c r="AW60" s="53" t="s">
        <v>33</v>
      </c>
      <c r="AX60" s="53"/>
      <c r="AY60" s="474"/>
      <c r="BB60" s="255"/>
      <c r="BV60">
        <v>7</v>
      </c>
      <c r="BW60" s="380">
        <f t="shared" si="77"/>
        <v>19</v>
      </c>
      <c r="BX60" s="79">
        <f t="shared" si="78"/>
        <v>1.6759765743950602E-2</v>
      </c>
      <c r="BY60" s="533"/>
      <c r="EJ60" s="20"/>
    </row>
    <row r="61" spans="2:164" x14ac:dyDescent="0.4">
      <c r="AG61" s="29">
        <v>2.4E-2</v>
      </c>
      <c r="AH61" s="18">
        <f>(LN(2))/AG61</f>
        <v>28.881132523331054</v>
      </c>
      <c r="AN61" s="254"/>
      <c r="AX61" s="255" t="s">
        <v>35</v>
      </c>
      <c r="AZ61" s="462" t="s">
        <v>262</v>
      </c>
      <c r="BA61" s="67" t="s">
        <v>17</v>
      </c>
      <c r="BB61" s="255"/>
      <c r="BP61" s="6" t="s">
        <v>19</v>
      </c>
      <c r="BS61" s="442"/>
      <c r="BV61">
        <v>8</v>
      </c>
      <c r="BW61" s="380">
        <f t="shared" si="77"/>
        <v>20</v>
      </c>
      <c r="BX61" s="79">
        <f t="shared" si="78"/>
        <v>1.5921777456753071E-2</v>
      </c>
      <c r="BY61" s="533"/>
    </row>
    <row r="62" spans="2:164" x14ac:dyDescent="0.4">
      <c r="AG62" s="29">
        <f t="shared" ref="AG62:AG83" si="81">AG61-0.001</f>
        <v>2.3E-2</v>
      </c>
      <c r="AH62" s="18">
        <f t="shared" ref="AH62:AH83" si="82">(LN(2))/AG62</f>
        <v>30.136833937388925</v>
      </c>
      <c r="BO62" s="534" t="s">
        <v>112</v>
      </c>
      <c r="BP62" s="82" t="s">
        <v>20</v>
      </c>
      <c r="BQ62" s="44">
        <f>BQ31</f>
        <v>3.5</v>
      </c>
      <c r="BR62" s="12" t="s">
        <v>21</v>
      </c>
      <c r="BS62" s="442"/>
      <c r="BV62">
        <v>9</v>
      </c>
      <c r="BW62" s="380">
        <f t="shared" si="77"/>
        <v>21</v>
      </c>
      <c r="BX62" s="79">
        <f t="shared" si="78"/>
        <v>1.516359757786007E-2</v>
      </c>
      <c r="BY62" s="533"/>
    </row>
    <row r="63" spans="2:164" x14ac:dyDescent="0.4">
      <c r="AG63" s="29">
        <f t="shared" si="81"/>
        <v>2.1999999999999999E-2</v>
      </c>
      <c r="AH63" s="18">
        <f t="shared" si="82"/>
        <v>31.506690025452059</v>
      </c>
      <c r="AX63" s="255"/>
      <c r="BA63" s="36"/>
      <c r="BO63" s="534"/>
      <c r="BP63" s="82" t="s">
        <v>23</v>
      </c>
      <c r="BQ63" s="46">
        <f>BQ32</f>
        <v>0.7</v>
      </c>
      <c r="BR63" t="s">
        <v>25</v>
      </c>
      <c r="BS63" s="48"/>
      <c r="BV63">
        <v>10</v>
      </c>
      <c r="BW63" s="380">
        <f t="shared" si="77"/>
        <v>22</v>
      </c>
      <c r="BX63" s="79">
        <f t="shared" si="78"/>
        <v>1.4474343142502793E-2</v>
      </c>
      <c r="BY63" s="533"/>
    </row>
    <row r="64" spans="2:164" x14ac:dyDescent="0.3">
      <c r="AG64" s="29">
        <f t="shared" si="81"/>
        <v>2.0999999999999998E-2</v>
      </c>
      <c r="AH64" s="18">
        <f t="shared" si="82"/>
        <v>33.007008598092639</v>
      </c>
      <c r="AU64" s="68"/>
      <c r="AV64" s="68"/>
      <c r="AX64" s="101" t="s">
        <v>261</v>
      </c>
      <c r="AY64" s="475"/>
      <c r="AZ64" s="462">
        <v>1993</v>
      </c>
      <c r="BA64" s="34">
        <v>3.0571428571428572E-2</v>
      </c>
      <c r="BO64" s="534"/>
      <c r="BP64" s="82" t="s">
        <v>107</v>
      </c>
      <c r="BQ64" s="44">
        <v>0.7</v>
      </c>
      <c r="BR64" t="s">
        <v>22</v>
      </c>
      <c r="BV64">
        <v>11</v>
      </c>
      <c r="BW64" s="380">
        <f t="shared" si="77"/>
        <v>23</v>
      </c>
      <c r="BX64" s="79">
        <f t="shared" si="78"/>
        <v>1.3845023875437455E-2</v>
      </c>
      <c r="BY64" s="533"/>
    </row>
    <row r="65" spans="33:149" x14ac:dyDescent="0.3">
      <c r="AG65" s="29">
        <f t="shared" si="81"/>
        <v>1.9999999999999997E-2</v>
      </c>
      <c r="AH65" s="18">
        <f t="shared" si="82"/>
        <v>34.657359027997266</v>
      </c>
      <c r="AU65" s="461"/>
      <c r="AV65" s="461"/>
      <c r="AX65" s="101" t="s">
        <v>254</v>
      </c>
      <c r="AY65" s="475"/>
      <c r="AZ65" s="462">
        <v>2007</v>
      </c>
      <c r="BA65" s="34">
        <v>2.7285714285714285E-2</v>
      </c>
      <c r="BP65" t="s">
        <v>105</v>
      </c>
      <c r="BQ65">
        <f>(1+(BQ62*BQ63))*BQ64</f>
        <v>2.4149999999999996</v>
      </c>
      <c r="BV65">
        <v>12</v>
      </c>
      <c r="BW65" s="380">
        <f t="shared" si="77"/>
        <v>24</v>
      </c>
      <c r="BX65" s="79">
        <f t="shared" si="78"/>
        <v>1.326814788062756E-2</v>
      </c>
      <c r="BY65" s="533"/>
    </row>
    <row r="66" spans="33:149" x14ac:dyDescent="0.4">
      <c r="AG66" s="29">
        <f t="shared" si="81"/>
        <v>1.8999999999999996E-2</v>
      </c>
      <c r="AH66" s="18">
        <f t="shared" si="82"/>
        <v>36.481430555786602</v>
      </c>
      <c r="AR66" s="285"/>
      <c r="AS66" s="285"/>
      <c r="AT66" s="285"/>
      <c r="AU66" s="286"/>
      <c r="AV66" s="286"/>
      <c r="AW66" s="285"/>
      <c r="AX66" s="287" t="s">
        <v>37</v>
      </c>
      <c r="AY66" s="476"/>
      <c r="BA66" s="36">
        <v>2.3E-2</v>
      </c>
      <c r="BP66" s="255" t="s">
        <v>26</v>
      </c>
      <c r="BQ66">
        <f>LN(BQ65)</f>
        <v>0.88169928710453582</v>
      </c>
      <c r="BV66">
        <v>13</v>
      </c>
      <c r="BW66" s="380">
        <f t="shared" si="77"/>
        <v>25</v>
      </c>
      <c r="BX66" s="79">
        <f t="shared" si="78"/>
        <v>1.2737421965402458E-2</v>
      </c>
      <c r="BY66" s="533"/>
    </row>
    <row r="67" spans="33:149" x14ac:dyDescent="0.3">
      <c r="AG67" s="29">
        <f t="shared" si="81"/>
        <v>1.7999999999999995E-2</v>
      </c>
      <c r="AH67" s="18">
        <f t="shared" si="82"/>
        <v>38.508176697774751</v>
      </c>
      <c r="AU67" s="461"/>
      <c r="AV67" s="461"/>
      <c r="AX67" s="101" t="s">
        <v>275</v>
      </c>
      <c r="AY67" s="475"/>
      <c r="AZ67" s="462">
        <v>1999</v>
      </c>
      <c r="BA67" s="34">
        <v>2.2936022002005126E-2</v>
      </c>
      <c r="BP67" s="255" t="s">
        <v>27</v>
      </c>
      <c r="BQ67" s="6">
        <f>BQ66/15</f>
        <v>5.8779952473635724E-2</v>
      </c>
      <c r="BV67">
        <v>14</v>
      </c>
      <c r="BW67" s="380">
        <f t="shared" si="77"/>
        <v>26</v>
      </c>
      <c r="BX67" s="79">
        <f t="shared" si="78"/>
        <v>1.2247521120579287E-2</v>
      </c>
      <c r="BY67" s="533"/>
      <c r="CE67" s="32"/>
      <c r="CF67" s="32"/>
    </row>
    <row r="68" spans="33:149" ht="12.75" customHeight="1" x14ac:dyDescent="0.3">
      <c r="AG68" s="29">
        <f t="shared" si="81"/>
        <v>1.6999999999999994E-2</v>
      </c>
      <c r="AH68" s="18">
        <f t="shared" si="82"/>
        <v>40.773363562349736</v>
      </c>
      <c r="AV68" s="60"/>
      <c r="AW68" s="60"/>
      <c r="AX68" s="101" t="s">
        <v>273</v>
      </c>
      <c r="AY68" s="475"/>
      <c r="AZ68" s="462">
        <v>2002</v>
      </c>
      <c r="BA68" s="34">
        <v>2.2714285714285715E-2</v>
      </c>
      <c r="BP68" s="255"/>
      <c r="BV68">
        <v>15</v>
      </c>
      <c r="BW68" s="380">
        <f t="shared" si="77"/>
        <v>27</v>
      </c>
      <c r="BX68" s="79">
        <f t="shared" si="78"/>
        <v>1.1793909227224498E-2</v>
      </c>
      <c r="BY68" s="533"/>
      <c r="BZ68"/>
      <c r="CA68"/>
      <c r="CB68"/>
      <c r="CE68" s="32"/>
      <c r="CF68" s="32"/>
    </row>
    <row r="69" spans="33:149" ht="12.75" customHeight="1" x14ac:dyDescent="0.3">
      <c r="AG69" s="29">
        <f t="shared" si="81"/>
        <v>1.5999999999999993E-2</v>
      </c>
      <c r="AH69" s="18">
        <f t="shared" si="82"/>
        <v>43.321698784996599</v>
      </c>
      <c r="AU69" s="60"/>
      <c r="AV69" s="60"/>
      <c r="AW69" s="60"/>
      <c r="AX69" s="101" t="s">
        <v>263</v>
      </c>
      <c r="AY69" s="475"/>
      <c r="AZ69" s="462">
        <v>1994</v>
      </c>
      <c r="BA69" s="288">
        <v>2.1428571428571429E-2</v>
      </c>
      <c r="BB69" s="535" t="s">
        <v>280</v>
      </c>
      <c r="CE69" s="32"/>
      <c r="CF69" s="32"/>
    </row>
    <row r="70" spans="33:149" ht="12.75" customHeight="1" x14ac:dyDescent="0.3">
      <c r="AG70" s="29">
        <f t="shared" si="81"/>
        <v>1.4999999999999993E-2</v>
      </c>
      <c r="AH70" s="18">
        <f t="shared" si="82"/>
        <v>46.209812037329712</v>
      </c>
      <c r="AU70" s="60"/>
      <c r="AV70" s="60"/>
      <c r="AW70" s="60"/>
      <c r="AX70" s="101" t="s">
        <v>267</v>
      </c>
      <c r="AY70" s="475"/>
      <c r="AZ70" s="300">
        <v>1997</v>
      </c>
      <c r="BA70" s="289">
        <v>2.1428571428571429E-2</v>
      </c>
      <c r="BB70" s="535"/>
      <c r="BP70" s="49" t="s">
        <v>236</v>
      </c>
      <c r="BQ70" s="49"/>
      <c r="BR70" s="49"/>
      <c r="BS70" s="49"/>
      <c r="BT70" s="49"/>
      <c r="BU70" s="12"/>
      <c r="BV70" s="12"/>
      <c r="CE70" s="32"/>
      <c r="CF70" s="32"/>
    </row>
    <row r="71" spans="33:149" ht="12.75" customHeight="1" x14ac:dyDescent="0.4">
      <c r="AG71" s="29">
        <f t="shared" si="81"/>
        <v>1.3999999999999992E-2</v>
      </c>
      <c r="AH71" s="18">
        <f t="shared" si="82"/>
        <v>49.51051289713898</v>
      </c>
      <c r="AV71" s="159"/>
      <c r="AW71" s="159"/>
      <c r="AX71" s="255" t="s">
        <v>36</v>
      </c>
      <c r="AZ71" s="462">
        <v>1999</v>
      </c>
      <c r="BA71" s="290">
        <v>2.1000000000000001E-2</v>
      </c>
      <c r="BB71" s="535"/>
      <c r="BP71" s="65">
        <v>5.0000000000000001E-3</v>
      </c>
      <c r="BQ71" t="s">
        <v>28</v>
      </c>
      <c r="BR71" s="50">
        <f>1-BP71</f>
        <v>0.995</v>
      </c>
      <c r="BS71" t="s">
        <v>29</v>
      </c>
      <c r="BU71" t="s">
        <v>30</v>
      </c>
      <c r="CE71" s="32"/>
      <c r="CF71" s="32"/>
      <c r="ES71" s="18"/>
    </row>
    <row r="72" spans="33:149" x14ac:dyDescent="0.3">
      <c r="AG72" s="29">
        <f t="shared" si="81"/>
        <v>1.2999999999999991E-2</v>
      </c>
      <c r="AH72" s="18">
        <f t="shared" si="82"/>
        <v>53.319013889226596</v>
      </c>
      <c r="AU72" s="159"/>
      <c r="AV72" s="159"/>
      <c r="AW72" s="159"/>
      <c r="AX72" s="101" t="s">
        <v>254</v>
      </c>
      <c r="AY72" s="475"/>
      <c r="AZ72" s="462">
        <v>2007</v>
      </c>
      <c r="BA72" s="288">
        <v>2.0714285714285713E-2</v>
      </c>
      <c r="BB72" s="535"/>
      <c r="BP72" s="12">
        <f>LN(BR71)</f>
        <v>-5.0125418235442863E-3</v>
      </c>
      <c r="BQ72" t="s">
        <v>31</v>
      </c>
      <c r="CE72" s="32"/>
      <c r="CF72" s="32"/>
    </row>
    <row r="73" spans="33:149" x14ac:dyDescent="0.3">
      <c r="AG73" s="29">
        <f t="shared" si="81"/>
        <v>1.199999999999999E-2</v>
      </c>
      <c r="AH73" s="18">
        <f t="shared" si="82"/>
        <v>57.762265046662158</v>
      </c>
      <c r="AU73" s="159"/>
      <c r="AV73" s="159"/>
      <c r="AW73" s="159"/>
      <c r="AX73" s="101" t="s">
        <v>266</v>
      </c>
      <c r="AY73" s="475"/>
      <c r="AZ73" s="462">
        <v>1996</v>
      </c>
      <c r="BA73" s="288">
        <v>1.9857142857142858E-2</v>
      </c>
      <c r="BB73" s="535"/>
      <c r="BP73" s="51">
        <f>100*EXP(BP72*100)</f>
        <v>60.577043649072792</v>
      </c>
      <c r="BQ73" s="52" t="s">
        <v>32</v>
      </c>
      <c r="BR73" s="52"/>
      <c r="BS73" s="52"/>
      <c r="CB73"/>
      <c r="CC73"/>
      <c r="CD73"/>
      <c r="CE73"/>
      <c r="CF73"/>
      <c r="CG73"/>
    </row>
    <row r="74" spans="33:149" ht="12.75" customHeight="1" x14ac:dyDescent="0.3">
      <c r="AG74" s="29">
        <f t="shared" si="81"/>
        <v>1.0999999999999989E-2</v>
      </c>
      <c r="AH74" s="18">
        <f t="shared" si="82"/>
        <v>63.013380050904182</v>
      </c>
      <c r="AS74" s="22"/>
      <c r="AT74" s="22"/>
      <c r="AX74" s="101" t="s">
        <v>255</v>
      </c>
      <c r="AY74" s="475"/>
      <c r="AZ74" s="462">
        <v>2007</v>
      </c>
      <c r="BA74" s="288">
        <v>1.9571428571428573E-2</v>
      </c>
      <c r="BB74" s="535"/>
      <c r="BX74" s="536" t="s">
        <v>256</v>
      </c>
      <c r="BY74" s="536"/>
      <c r="BZ74" s="536"/>
      <c r="CA74" s="536"/>
      <c r="CB74" s="536"/>
      <c r="CC74" s="536"/>
      <c r="CD74"/>
      <c r="CE74"/>
      <c r="CF74"/>
      <c r="CG74"/>
    </row>
    <row r="75" spans="33:149" x14ac:dyDescent="0.4">
      <c r="AG75" s="29">
        <f t="shared" si="81"/>
        <v>9.9999999999999881E-3</v>
      </c>
      <c r="AH75" s="18">
        <f t="shared" si="82"/>
        <v>69.314718055994618</v>
      </c>
      <c r="AX75" s="255" t="s">
        <v>279</v>
      </c>
      <c r="AZ75" s="462">
        <v>2016</v>
      </c>
      <c r="BA75" s="290">
        <v>1.9E-2</v>
      </c>
      <c r="BB75" s="535"/>
      <c r="BP75" s="49" t="s">
        <v>237</v>
      </c>
      <c r="BX75" s="536"/>
      <c r="BY75" s="536"/>
      <c r="BZ75" s="536"/>
      <c r="CA75" s="536"/>
      <c r="CB75" s="536"/>
      <c r="CC75" s="536"/>
    </row>
    <row r="76" spans="33:149" x14ac:dyDescent="0.3">
      <c r="AG76" s="29">
        <f t="shared" si="81"/>
        <v>8.9999999999999872E-3</v>
      </c>
      <c r="AH76" s="18">
        <f t="shared" si="82"/>
        <v>77.016353395549586</v>
      </c>
      <c r="AX76" s="101" t="s">
        <v>264</v>
      </c>
      <c r="AY76" s="475"/>
      <c r="AZ76" s="462">
        <v>1995</v>
      </c>
      <c r="BA76" s="288">
        <v>1.8714285714285715E-2</v>
      </c>
      <c r="BB76" s="535"/>
      <c r="BP76" s="65">
        <v>0.01</v>
      </c>
      <c r="BQ76" t="s">
        <v>28</v>
      </c>
      <c r="BR76" s="50">
        <f>1-BP76</f>
        <v>0.99</v>
      </c>
      <c r="BS76" t="s">
        <v>29</v>
      </c>
      <c r="BX76" s="536"/>
      <c r="BY76" s="536"/>
      <c r="BZ76" s="536"/>
      <c r="CA76" s="536"/>
      <c r="CB76" s="536"/>
      <c r="CC76" s="536"/>
    </row>
    <row r="77" spans="33:149" x14ac:dyDescent="0.3">
      <c r="AG77" s="29">
        <f t="shared" si="81"/>
        <v>7.9999999999999863E-3</v>
      </c>
      <c r="AH77" s="18">
        <f t="shared" si="82"/>
        <v>86.643397569993311</v>
      </c>
      <c r="AX77" s="101" t="s">
        <v>254</v>
      </c>
      <c r="AY77" s="475"/>
      <c r="AZ77" s="462">
        <v>2007</v>
      </c>
      <c r="BA77" s="288">
        <v>1.7428571428571429E-2</v>
      </c>
      <c r="BB77" s="535"/>
      <c r="BP77" s="12">
        <f>LN(BR76)</f>
        <v>-1.0050335853501451E-2</v>
      </c>
      <c r="BQ77" t="s">
        <v>31</v>
      </c>
      <c r="BX77" s="536"/>
      <c r="BY77" s="536"/>
      <c r="BZ77" s="536"/>
      <c r="CA77" s="536"/>
      <c r="CB77" s="536"/>
      <c r="CC77" s="536"/>
    </row>
    <row r="78" spans="33:149" ht="12.75" customHeight="1" x14ac:dyDescent="0.4">
      <c r="AG78" s="29">
        <f t="shared" si="81"/>
        <v>6.9999999999999863E-3</v>
      </c>
      <c r="AH78" s="18">
        <f t="shared" si="82"/>
        <v>99.021025794278088</v>
      </c>
      <c r="AX78" s="255" t="s">
        <v>131</v>
      </c>
      <c r="AZ78" s="462">
        <v>2000</v>
      </c>
      <c r="BA78" s="290">
        <v>1.7000000000000001E-2</v>
      </c>
      <c r="BB78" s="535"/>
      <c r="BP78" s="276">
        <v>3</v>
      </c>
      <c r="BQ78" s="277">
        <v>19</v>
      </c>
      <c r="BR78" t="s">
        <v>238</v>
      </c>
      <c r="BU78">
        <f>BP78*BQ78</f>
        <v>57</v>
      </c>
      <c r="BV78" t="s">
        <v>239</v>
      </c>
      <c r="BX78" s="536"/>
      <c r="BY78" s="536"/>
      <c r="BZ78" s="536"/>
      <c r="CA78" s="536"/>
      <c r="CB78" s="536"/>
      <c r="CC78" s="536"/>
      <c r="CD78" s="33"/>
      <c r="CE78" s="33"/>
      <c r="CF78" s="33"/>
      <c r="CG78" s="33"/>
      <c r="CH78" s="33"/>
      <c r="CI78" s="33"/>
      <c r="CJ78" s="33"/>
      <c r="CK78" s="33"/>
      <c r="CL78" s="33"/>
      <c r="CM78" s="88"/>
    </row>
    <row r="79" spans="33:149" x14ac:dyDescent="0.3">
      <c r="AG79" s="29">
        <f t="shared" si="81"/>
        <v>5.9999999999999862E-3</v>
      </c>
      <c r="AH79" s="18">
        <f t="shared" si="82"/>
        <v>115.52453009332447</v>
      </c>
      <c r="AX79" s="101" t="s">
        <v>274</v>
      </c>
      <c r="AY79" s="475"/>
      <c r="AZ79" s="462">
        <v>2002</v>
      </c>
      <c r="BA79" s="34">
        <v>1.3571428571428571E-2</v>
      </c>
      <c r="BP79" s="51">
        <f>100*EXP(BP77*BU78)</f>
        <v>56.390519045238761</v>
      </c>
      <c r="BQ79" s="52" t="s">
        <v>240</v>
      </c>
      <c r="BR79" s="52">
        <f>BU78</f>
        <v>57</v>
      </c>
      <c r="BS79" s="52" t="s">
        <v>241</v>
      </c>
      <c r="DP79" s="35"/>
      <c r="DQ79" s="390"/>
      <c r="DR79" s="35"/>
      <c r="DS79" s="34"/>
      <c r="DT79" s="34"/>
      <c r="DV79" s="36"/>
      <c r="DW79" s="34"/>
      <c r="EI79" s="21"/>
      <c r="EJ79" s="18"/>
    </row>
    <row r="80" spans="33:149" s="20" customFormat="1" ht="12.75" customHeight="1" x14ac:dyDescent="0.3">
      <c r="AG80" s="29">
        <f t="shared" si="81"/>
        <v>4.9999999999999862E-3</v>
      </c>
      <c r="AH80" s="18">
        <f t="shared" si="82"/>
        <v>138.62943611198943</v>
      </c>
      <c r="AR80"/>
      <c r="AX80" s="101" t="s">
        <v>265</v>
      </c>
      <c r="AY80" s="475"/>
      <c r="AZ80" s="462">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7"/>
      <c r="DR80"/>
      <c r="DS80"/>
      <c r="DT80"/>
      <c r="DU80"/>
      <c r="DV80" s="39"/>
      <c r="DX80"/>
      <c r="DY80"/>
      <c r="DZ80"/>
      <c r="EA80"/>
      <c r="EB80"/>
      <c r="EC80"/>
      <c r="ED80"/>
      <c r="EE80"/>
      <c r="EF80"/>
      <c r="EG80"/>
      <c r="EH80"/>
      <c r="EI80" s="40"/>
      <c r="EJ80" s="38"/>
    </row>
    <row r="81" spans="33:140" x14ac:dyDescent="0.3">
      <c r="AG81" s="29">
        <f t="shared" si="81"/>
        <v>3.9999999999999862E-3</v>
      </c>
      <c r="AH81" s="18">
        <f t="shared" si="82"/>
        <v>173.28679513998691</v>
      </c>
      <c r="AX81" s="101" t="s">
        <v>276</v>
      </c>
      <c r="AY81" s="475"/>
      <c r="AZ81" s="462">
        <v>1999</v>
      </c>
      <c r="BA81" s="34">
        <v>1.035681555964402E-2</v>
      </c>
      <c r="BX81" s="442" t="s">
        <v>243</v>
      </c>
      <c r="CH81"/>
      <c r="DP81"/>
      <c r="DQ81" s="457"/>
      <c r="DR81"/>
      <c r="EI81" s="41"/>
      <c r="EJ81" s="18"/>
    </row>
    <row r="82" spans="33:140" ht="12.75" customHeight="1" x14ac:dyDescent="0.4">
      <c r="AG82" s="29">
        <f t="shared" si="81"/>
        <v>2.9999999999999862E-3</v>
      </c>
      <c r="AH82" s="18">
        <f t="shared" si="82"/>
        <v>231.04906018664948</v>
      </c>
      <c r="AX82" s="255" t="s">
        <v>260</v>
      </c>
      <c r="AZ82" s="462">
        <v>2000</v>
      </c>
      <c r="BA82" s="34">
        <v>0.01</v>
      </c>
      <c r="BR82" s="18"/>
      <c r="CH82"/>
      <c r="DP82"/>
      <c r="DQ82" s="457"/>
      <c r="DR82"/>
    </row>
    <row r="83" spans="33:140" x14ac:dyDescent="0.3">
      <c r="AG83" s="29">
        <f t="shared" si="81"/>
        <v>1.9999999999999862E-3</v>
      </c>
      <c r="AH83" s="18">
        <f t="shared" si="82"/>
        <v>346.57359027997506</v>
      </c>
      <c r="AX83" s="101" t="s">
        <v>255</v>
      </c>
      <c r="AY83" s="475"/>
      <c r="AZ83" s="462">
        <v>2007</v>
      </c>
      <c r="BA83" s="34">
        <v>8.7142857142857143E-3</v>
      </c>
      <c r="BH83" s="6"/>
      <c r="CE83" s="43"/>
      <c r="CF83" s="43"/>
      <c r="CG83" s="380"/>
      <c r="CH83" s="380"/>
      <c r="DP83"/>
      <c r="DQ83" s="457"/>
      <c r="DR83"/>
      <c r="EI83" s="21"/>
      <c r="EJ83" s="18"/>
    </row>
    <row r="84" spans="33:140" x14ac:dyDescent="0.3">
      <c r="AX84" s="101" t="s">
        <v>272</v>
      </c>
      <c r="AY84" s="475"/>
      <c r="AZ84" s="462">
        <v>2001</v>
      </c>
      <c r="BA84" s="34">
        <v>6.7142857142857143E-3</v>
      </c>
      <c r="BS84" s="21"/>
      <c r="BT84" s="21"/>
      <c r="CH84"/>
      <c r="DP84"/>
      <c r="DQ84" s="457"/>
      <c r="DR84"/>
      <c r="EI84" s="21"/>
      <c r="EJ84" s="18"/>
    </row>
    <row r="85" spans="33:140" x14ac:dyDescent="0.3">
      <c r="AX85" s="101" t="s">
        <v>268</v>
      </c>
      <c r="AY85" s="475"/>
      <c r="AZ85" s="462">
        <v>1999</v>
      </c>
      <c r="BA85" s="34">
        <v>4.7142857142857143E-3</v>
      </c>
      <c r="CE85" s="380"/>
      <c r="CF85" s="380"/>
      <c r="CG85" s="380"/>
      <c r="CH85" s="380"/>
      <c r="DP85"/>
      <c r="DQ85" s="457"/>
      <c r="DR85"/>
      <c r="EI85" s="21"/>
      <c r="EJ85" s="18"/>
    </row>
    <row r="86" spans="33:140" ht="50" x14ac:dyDescent="0.3">
      <c r="AX86" s="101" t="s">
        <v>278</v>
      </c>
      <c r="AY86" s="475"/>
      <c r="AZ86" s="462">
        <v>1999</v>
      </c>
      <c r="BA86" s="288">
        <v>3.9670639760890931E-3</v>
      </c>
      <c r="BB86" s="521" t="s">
        <v>281</v>
      </c>
      <c r="CA86" s="448"/>
      <c r="CB86" s="452" t="s">
        <v>249</v>
      </c>
      <c r="CC86" s="257" t="s">
        <v>247</v>
      </c>
      <c r="CD86" s="445" t="s">
        <v>248</v>
      </c>
      <c r="CE86" s="452" t="s">
        <v>315</v>
      </c>
      <c r="CF86" s="452"/>
      <c r="CH86" s="380"/>
      <c r="DV86" s="44"/>
      <c r="DW86" s="44"/>
    </row>
    <row r="87" spans="33:140" ht="37.5" x14ac:dyDescent="0.3">
      <c r="AX87" s="101" t="s">
        <v>271</v>
      </c>
      <c r="AY87" s="475"/>
      <c r="AZ87" s="462">
        <v>2000</v>
      </c>
      <c r="BA87" s="288">
        <v>3.4285714285714288E-3</v>
      </c>
      <c r="BB87" s="521"/>
      <c r="CA87" s="452" t="s">
        <v>245</v>
      </c>
      <c r="CB87" s="452" t="s">
        <v>244</v>
      </c>
      <c r="CC87" s="452">
        <f>BW127</f>
        <v>0</v>
      </c>
      <c r="CD87" s="452" t="s">
        <v>246</v>
      </c>
      <c r="CE87" s="448"/>
      <c r="CF87" s="448"/>
      <c r="CG87" s="255" t="s">
        <v>250</v>
      </c>
      <c r="CH87" s="380"/>
    </row>
    <row r="88" spans="33:140" x14ac:dyDescent="0.3">
      <c r="AX88" s="101" t="s">
        <v>269</v>
      </c>
      <c r="AY88" s="475"/>
      <c r="AZ88" s="462">
        <v>1999</v>
      </c>
      <c r="BA88" s="288">
        <v>3.2857142857142855E-3</v>
      </c>
      <c r="BB88" s="521"/>
      <c r="BZ88" s="255">
        <v>40</v>
      </c>
      <c r="CA88" s="52">
        <v>0</v>
      </c>
      <c r="CB88" s="283">
        <v>1E-3</v>
      </c>
      <c r="CC88" s="52">
        <v>40</v>
      </c>
      <c r="CD88" s="74">
        <f t="shared" ref="CD88:CD106" si="83">12+CC88</f>
        <v>52</v>
      </c>
      <c r="CE88" s="27">
        <f t="shared" ref="CE88:CE106" si="84">-$CG$91*LN(CB88)+$CG$88</f>
        <v>39.538776394910684</v>
      </c>
      <c r="CF88" s="27"/>
      <c r="CG88" s="282">
        <v>5</v>
      </c>
      <c r="CH88" s="380"/>
    </row>
    <row r="89" spans="33:140" x14ac:dyDescent="0.3">
      <c r="AX89" s="101" t="s">
        <v>255</v>
      </c>
      <c r="AY89" s="475"/>
      <c r="AZ89" s="462">
        <v>2007</v>
      </c>
      <c r="BA89" s="288">
        <v>3.0000000000000001E-3</v>
      </c>
      <c r="BB89" s="521"/>
      <c r="BZ89" s="255">
        <v>30</v>
      </c>
      <c r="CA89" s="52">
        <v>10</v>
      </c>
      <c r="CB89" s="281">
        <f t="shared" ref="CB89:CB106" si="85">CA89*20/8000</f>
        <v>2.5000000000000001E-2</v>
      </c>
      <c r="CC89" s="52">
        <v>30</v>
      </c>
      <c r="CD89" s="74">
        <f t="shared" si="83"/>
        <v>42</v>
      </c>
      <c r="CE89" s="27">
        <f t="shared" si="84"/>
        <v>23.444397270569681</v>
      </c>
      <c r="CF89" s="27"/>
      <c r="CH89" s="380"/>
    </row>
    <row r="90" spans="33:140" x14ac:dyDescent="0.3">
      <c r="AX90" s="101" t="s">
        <v>270</v>
      </c>
      <c r="AY90" s="475"/>
      <c r="AZ90" s="462">
        <v>2000</v>
      </c>
      <c r="BA90" s="288">
        <v>2.142857142857143E-3</v>
      </c>
      <c r="BB90" s="521"/>
      <c r="BZ90" s="255">
        <v>20</v>
      </c>
      <c r="CA90" s="52">
        <v>25</v>
      </c>
      <c r="CB90" s="281">
        <f t="shared" si="85"/>
        <v>6.25E-2</v>
      </c>
      <c r="CC90" s="52">
        <v>20</v>
      </c>
      <c r="CD90" s="74">
        <f t="shared" si="83"/>
        <v>32</v>
      </c>
      <c r="CE90" s="27">
        <f t="shared" si="84"/>
        <v>18.862943611198908</v>
      </c>
      <c r="CF90" s="27"/>
      <c r="CG90" s="255" t="s">
        <v>251</v>
      </c>
      <c r="CH90" s="380"/>
    </row>
    <row r="91" spans="33:140" x14ac:dyDescent="0.3">
      <c r="AX91" s="101" t="s">
        <v>277</v>
      </c>
      <c r="AY91" s="475"/>
      <c r="AZ91" s="462">
        <v>1999</v>
      </c>
      <c r="BA91" s="288">
        <v>-8.0662155061252579E-3</v>
      </c>
      <c r="BB91" s="521"/>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3"/>
      <c r="CQ91" s="443"/>
      <c r="CR91" s="443"/>
      <c r="CS91" s="443"/>
    </row>
    <row r="92" spans="33:140" x14ac:dyDescent="0.4">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3"/>
      <c r="CQ92" s="443"/>
      <c r="CR92" s="443"/>
      <c r="CS92" s="443"/>
    </row>
    <row r="93" spans="33:140" x14ac:dyDescent="0.4">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4">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4">
      <c r="BX95" s="47"/>
      <c r="BZ95" s="58"/>
      <c r="CA95" s="278">
        <v>200</v>
      </c>
      <c r="CB95" s="280">
        <f t="shared" si="85"/>
        <v>0.5</v>
      </c>
      <c r="CC95" s="279">
        <v>9.0909090909090917</v>
      </c>
      <c r="CD95" s="279">
        <f t="shared" si="83"/>
        <v>21.090909090909093</v>
      </c>
      <c r="CE95" s="27">
        <f t="shared" si="84"/>
        <v>8.465735902799727</v>
      </c>
      <c r="CF95" s="27"/>
    </row>
    <row r="96" spans="33:140" x14ac:dyDescent="0.4">
      <c r="BZ96" s="58"/>
      <c r="CA96" s="278">
        <v>250</v>
      </c>
      <c r="CB96" s="280">
        <f t="shared" si="85"/>
        <v>0.625</v>
      </c>
      <c r="CC96" s="279">
        <v>7.6923076923076916</v>
      </c>
      <c r="CD96" s="279">
        <f t="shared" si="83"/>
        <v>19.692307692307693</v>
      </c>
      <c r="CE96" s="27">
        <f t="shared" si="84"/>
        <v>7.3500181462286776</v>
      </c>
      <c r="CF96" s="27"/>
    </row>
    <row r="97" spans="39:133" x14ac:dyDescent="0.4">
      <c r="BZ97" s="58"/>
      <c r="CA97" s="278">
        <v>300</v>
      </c>
      <c r="CB97" s="280">
        <f t="shared" si="85"/>
        <v>0.75</v>
      </c>
      <c r="CC97" s="279">
        <v>6.666666666666667</v>
      </c>
      <c r="CD97" s="279">
        <f t="shared" si="83"/>
        <v>18.666666666666668</v>
      </c>
      <c r="CE97" s="27">
        <f t="shared" si="84"/>
        <v>6.4384103622589048</v>
      </c>
      <c r="CF97" s="27"/>
    </row>
    <row r="98" spans="39:133" x14ac:dyDescent="0.4">
      <c r="BZ98" s="21"/>
      <c r="CA98" s="278">
        <v>350</v>
      </c>
      <c r="CB98" s="280">
        <f t="shared" si="85"/>
        <v>0.875</v>
      </c>
      <c r="CC98" s="279">
        <v>4.2105263157894735</v>
      </c>
      <c r="CD98" s="279">
        <f t="shared" si="83"/>
        <v>16.210526315789473</v>
      </c>
      <c r="CE98" s="27">
        <f t="shared" si="84"/>
        <v>5.6676569631226128</v>
      </c>
      <c r="CF98" s="27"/>
      <c r="CH98" s="380"/>
      <c r="CI98" s="380"/>
      <c r="CJ98" s="380"/>
      <c r="CK98" s="380"/>
      <c r="CL98" s="380"/>
    </row>
    <row r="99" spans="39:133" ht="12.75" customHeight="1" x14ac:dyDescent="0.4">
      <c r="BY99" s="450"/>
      <c r="BZ99" s="21"/>
      <c r="CA99" s="278">
        <v>400</v>
      </c>
      <c r="CB99" s="280">
        <f t="shared" si="85"/>
        <v>1</v>
      </c>
      <c r="CC99" s="279">
        <v>3.6363636363636367</v>
      </c>
      <c r="CD99" s="279">
        <f t="shared" si="83"/>
        <v>15.636363636363637</v>
      </c>
      <c r="CE99" s="27">
        <f t="shared" si="84"/>
        <v>5</v>
      </c>
      <c r="CF99" s="27"/>
      <c r="CH99" s="380"/>
      <c r="CI99" s="380"/>
      <c r="CJ99" s="380"/>
      <c r="CK99" s="380"/>
      <c r="CL99" s="380"/>
    </row>
    <row r="100" spans="39:133" s="54" customFormat="1" ht="12.75" customHeight="1" x14ac:dyDescent="0.4">
      <c r="AM100"/>
      <c r="AN100"/>
      <c r="AO100"/>
      <c r="AP100"/>
      <c r="AQ100"/>
      <c r="AR100"/>
      <c r="AS100"/>
      <c r="AT100"/>
      <c r="AU100"/>
      <c r="AV100"/>
      <c r="AW100"/>
      <c r="AX100"/>
      <c r="AY100" s="470"/>
      <c r="AZ100" s="462"/>
      <c r="BC100" s="457"/>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0"/>
      <c r="CI100" s="380"/>
      <c r="CJ100" s="380"/>
      <c r="CK100" s="380"/>
      <c r="CL100" s="380"/>
      <c r="DB100"/>
      <c r="DC100"/>
      <c r="DD100"/>
      <c r="DE100"/>
      <c r="DF100"/>
      <c r="DG100"/>
      <c r="DH100"/>
      <c r="DI100"/>
      <c r="DJ100"/>
      <c r="DK100"/>
      <c r="DL100"/>
      <c r="DP100" s="100"/>
      <c r="DQ100" s="57"/>
      <c r="DR100" s="100"/>
    </row>
    <row r="101" spans="39:133" x14ac:dyDescent="0.4">
      <c r="BM101" s="29"/>
      <c r="BZ101" s="21"/>
      <c r="CA101" s="278">
        <v>500</v>
      </c>
      <c r="CB101" s="280">
        <f t="shared" si="85"/>
        <v>1.25</v>
      </c>
      <c r="CC101" s="279">
        <v>2.8571428571428572</v>
      </c>
      <c r="CD101" s="279">
        <f t="shared" si="83"/>
        <v>14.857142857142858</v>
      </c>
      <c r="CE101" s="27">
        <f t="shared" si="84"/>
        <v>3.8842822434289515</v>
      </c>
      <c r="CF101" s="27"/>
      <c r="CH101" s="380"/>
      <c r="CI101" s="380"/>
      <c r="CJ101" s="380"/>
      <c r="CK101" s="380"/>
      <c r="CL101" s="380"/>
    </row>
    <row r="102" spans="39:133" x14ac:dyDescent="0.4">
      <c r="BM102" s="29"/>
      <c r="BZ102" s="21"/>
      <c r="CA102" s="278">
        <v>550</v>
      </c>
      <c r="CB102" s="280">
        <f t="shared" si="85"/>
        <v>1.375</v>
      </c>
      <c r="CC102" s="279">
        <v>1.8181818181818181</v>
      </c>
      <c r="CD102" s="279">
        <f t="shared" si="83"/>
        <v>13.818181818181818</v>
      </c>
      <c r="CE102" s="27">
        <f t="shared" si="84"/>
        <v>3.4077313444073272</v>
      </c>
      <c r="CF102" s="27"/>
      <c r="CH102" s="380"/>
      <c r="CI102" s="380"/>
      <c r="CJ102" s="380"/>
      <c r="CK102" s="380"/>
      <c r="CL102" s="380"/>
      <c r="DV102" s="21"/>
      <c r="DW102" s="21"/>
    </row>
    <row r="103" spans="39:133" ht="12.75" customHeight="1" x14ac:dyDescent="0.4">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4">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4">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4">
      <c r="BM106" s="29"/>
      <c r="BZ106" s="21">
        <v>0.5</v>
      </c>
      <c r="CA106" s="52">
        <v>1200</v>
      </c>
      <c r="CB106" s="281">
        <f t="shared" si="85"/>
        <v>3</v>
      </c>
      <c r="CC106" s="52">
        <v>0.5</v>
      </c>
      <c r="CD106" s="74">
        <f t="shared" si="83"/>
        <v>12.5</v>
      </c>
      <c r="CE106" s="27">
        <f t="shared" si="84"/>
        <v>-0.49306144334054913</v>
      </c>
      <c r="CF106" s="27"/>
      <c r="EC106" s="29"/>
    </row>
    <row r="107" spans="39:133" x14ac:dyDescent="0.4">
      <c r="BM107" s="29"/>
      <c r="BZ107" s="21"/>
      <c r="CC107" s="101"/>
      <c r="CD107" s="27"/>
      <c r="CE107" s="108"/>
      <c r="CF107" s="108"/>
      <c r="CG107" s="109"/>
      <c r="EC107" s="29"/>
    </row>
    <row r="108" spans="39:133" x14ac:dyDescent="0.4">
      <c r="BM108" s="29"/>
      <c r="BZ108" s="58"/>
      <c r="CC108" s="101"/>
      <c r="CD108" s="27"/>
      <c r="CE108" s="108"/>
      <c r="CF108" s="108"/>
      <c r="CG108" s="109"/>
      <c r="EC108" s="29"/>
    </row>
    <row r="109" spans="39:133" x14ac:dyDescent="0.4">
      <c r="BM109" s="29"/>
      <c r="BZ109" s="58"/>
      <c r="CC109" s="101"/>
      <c r="CD109" s="27"/>
      <c r="CE109" s="108"/>
      <c r="CF109" s="108"/>
      <c r="CG109" s="109"/>
      <c r="EC109" s="29"/>
    </row>
    <row r="110" spans="39:133" x14ac:dyDescent="0.4">
      <c r="BM110" s="29"/>
      <c r="BZ110" s="58"/>
      <c r="CC110" s="101"/>
      <c r="CD110" s="27"/>
      <c r="CE110" s="108"/>
      <c r="CF110" s="108"/>
      <c r="CG110" s="109"/>
    </row>
    <row r="111" spans="39:133" x14ac:dyDescent="0.4">
      <c r="BM111" s="29"/>
      <c r="BZ111" s="58"/>
      <c r="CC111" s="101"/>
      <c r="CD111" s="27"/>
      <c r="CE111" s="108"/>
      <c r="CF111" s="108"/>
      <c r="CG111" s="109"/>
    </row>
    <row r="112" spans="39:133" x14ac:dyDescent="0.4">
      <c r="BM112" s="29"/>
      <c r="BZ112" s="58"/>
      <c r="CC112" s="101"/>
      <c r="CD112" s="27"/>
      <c r="CE112" s="108"/>
      <c r="CF112" s="108"/>
      <c r="CG112" s="109"/>
    </row>
    <row r="113" spans="65:122" x14ac:dyDescent="0.4">
      <c r="BM113" s="29"/>
      <c r="BZ113" s="58"/>
      <c r="CC113" s="101"/>
      <c r="CD113" s="27"/>
      <c r="CE113" s="108"/>
      <c r="CF113" s="108"/>
      <c r="CG113" s="109"/>
    </row>
    <row r="114" spans="65:122" x14ac:dyDescent="0.4">
      <c r="BZ114" s="58"/>
      <c r="CC114" s="101"/>
      <c r="CD114" s="27"/>
      <c r="CE114" s="108"/>
      <c r="CF114" s="108"/>
      <c r="CG114" s="109"/>
      <c r="DP114" s="17"/>
      <c r="DQ114" s="391"/>
      <c r="DR114" s="17"/>
    </row>
    <row r="115" spans="65:122" x14ac:dyDescent="0.4">
      <c r="BZ115" s="58"/>
      <c r="CC115" s="101"/>
      <c r="CD115" s="27"/>
      <c r="CE115" s="108"/>
      <c r="CF115" s="108"/>
      <c r="CG115" s="109"/>
      <c r="DP115" s="17"/>
      <c r="DQ115" s="391"/>
      <c r="DR115" s="17"/>
    </row>
    <row r="116" spans="65:122" x14ac:dyDescent="0.4">
      <c r="BM116" s="29"/>
      <c r="BZ116" s="58"/>
      <c r="CC116" s="101"/>
      <c r="CD116" s="27"/>
      <c r="CE116" s="108"/>
      <c r="CF116" s="108"/>
      <c r="CG116" s="109"/>
      <c r="DP116" s="17"/>
      <c r="DQ116" s="391"/>
      <c r="DR116" s="17"/>
    </row>
    <row r="117" spans="65:122" x14ac:dyDescent="0.4">
      <c r="BM117" s="29"/>
      <c r="BZ117" s="58"/>
      <c r="DP117" s="17"/>
      <c r="DQ117" s="391"/>
      <c r="DR117" s="17"/>
    </row>
    <row r="118" spans="65:122" x14ac:dyDescent="0.4">
      <c r="BM118" s="29"/>
      <c r="BZ118" s="58"/>
      <c r="DP118" s="17"/>
      <c r="DQ118" s="391"/>
      <c r="DR118" s="17"/>
    </row>
    <row r="119" spans="65:122" x14ac:dyDescent="0.4">
      <c r="DP119" s="17"/>
      <c r="DQ119" s="391"/>
      <c r="DR119" s="17"/>
    </row>
    <row r="120" spans="65:122" x14ac:dyDescent="0.4">
      <c r="DP120" s="17"/>
      <c r="DQ120" s="391"/>
      <c r="DR120" s="17"/>
    </row>
    <row r="121" spans="65:122" x14ac:dyDescent="0.4">
      <c r="DB121" s="255"/>
      <c r="DP121" s="17"/>
      <c r="DQ121" s="391"/>
      <c r="DR121" s="17"/>
    </row>
    <row r="122" spans="65:122" x14ac:dyDescent="0.4">
      <c r="DB122" s="255"/>
      <c r="DP122" s="17"/>
      <c r="DQ122" s="391"/>
      <c r="DR122" s="17"/>
    </row>
    <row r="123" spans="65:122" x14ac:dyDescent="0.4">
      <c r="DB123" s="255"/>
      <c r="DP123" s="17"/>
      <c r="DQ123" s="391"/>
      <c r="DR123" s="17"/>
    </row>
    <row r="124" spans="65:122" x14ac:dyDescent="0.4">
      <c r="DB124" s="255"/>
      <c r="DP124" s="17"/>
      <c r="DQ124" s="391"/>
      <c r="DR124" s="17"/>
    </row>
    <row r="125" spans="65:122" x14ac:dyDescent="0.4">
      <c r="DB125" s="255"/>
      <c r="DP125" s="17"/>
      <c r="DQ125" s="391"/>
      <c r="DR125" s="17"/>
    </row>
    <row r="126" spans="65:122" x14ac:dyDescent="0.4">
      <c r="BW126" s="54"/>
      <c r="BZ126"/>
      <c r="DB126" s="255"/>
      <c r="DP126" s="17"/>
      <c r="DQ126" s="391"/>
      <c r="DR126" s="17"/>
    </row>
    <row r="127" spans="65:122" x14ac:dyDescent="0.4">
      <c r="BT127" s="20"/>
      <c r="BU127" s="20"/>
      <c r="BV127" s="20"/>
      <c r="BW127" s="20"/>
      <c r="BZ127"/>
      <c r="DB127" s="255"/>
      <c r="DP127" s="17"/>
      <c r="DQ127" s="391"/>
      <c r="DR127" s="17"/>
    </row>
    <row r="128" spans="65:122" x14ac:dyDescent="0.4">
      <c r="BW128" s="30"/>
      <c r="BZ128"/>
      <c r="DB128" s="255"/>
      <c r="DP128" s="17"/>
      <c r="DQ128" s="391"/>
      <c r="DR128" s="17"/>
    </row>
    <row r="129" spans="75:122" x14ac:dyDescent="0.4">
      <c r="BW129" s="30"/>
      <c r="BZ129"/>
      <c r="DB129" s="255"/>
      <c r="DP129" s="17"/>
      <c r="DQ129" s="391"/>
      <c r="DR129" s="17"/>
    </row>
    <row r="130" spans="75:122" x14ac:dyDescent="0.4">
      <c r="BW130" s="30"/>
      <c r="BZ130"/>
      <c r="DB130" s="255"/>
      <c r="DP130" s="17"/>
      <c r="DQ130" s="391"/>
      <c r="DR130" s="17"/>
    </row>
    <row r="131" spans="75:122" x14ac:dyDescent="0.4">
      <c r="BW131" s="30"/>
      <c r="BZ131"/>
      <c r="DB131" s="255"/>
      <c r="DP131" s="17"/>
      <c r="DQ131" s="391"/>
      <c r="DR131" s="17"/>
    </row>
    <row r="132" spans="75:122" x14ac:dyDescent="0.4">
      <c r="BW132" s="30"/>
      <c r="BZ132"/>
      <c r="DB132" s="255"/>
      <c r="DP132" s="17"/>
      <c r="DQ132" s="391"/>
      <c r="DR132" s="17"/>
    </row>
    <row r="133" spans="75:122" x14ac:dyDescent="0.4">
      <c r="BW133" s="30"/>
      <c r="BZ133"/>
      <c r="DB133" s="255"/>
      <c r="DP133" s="17"/>
      <c r="DQ133" s="391"/>
      <c r="DR133" s="17"/>
    </row>
    <row r="134" spans="75:122" x14ac:dyDescent="0.4">
      <c r="BW134" s="30"/>
      <c r="BZ134"/>
      <c r="DB134" s="255"/>
      <c r="DP134" s="17"/>
      <c r="DQ134" s="391"/>
      <c r="DR134" s="17"/>
    </row>
    <row r="135" spans="75:122" x14ac:dyDescent="0.4">
      <c r="BW135" s="30"/>
      <c r="BZ135"/>
      <c r="DB135" s="255"/>
      <c r="DP135" s="17"/>
      <c r="DQ135" s="391"/>
      <c r="DR135" s="17"/>
    </row>
    <row r="136" spans="75:122" x14ac:dyDescent="0.4">
      <c r="BW136" s="30"/>
      <c r="BZ136"/>
      <c r="DB136" s="255"/>
      <c r="DP136" s="17"/>
      <c r="DQ136" s="391"/>
      <c r="DR136" s="17"/>
    </row>
    <row r="137" spans="75:122" x14ac:dyDescent="0.4">
      <c r="BW137" s="30"/>
      <c r="BZ137"/>
      <c r="DB137" s="255"/>
      <c r="DP137" s="17"/>
      <c r="DQ137" s="391"/>
      <c r="DR137" s="17"/>
    </row>
    <row r="138" spans="75:122" x14ac:dyDescent="0.4">
      <c r="BW138" s="30"/>
      <c r="BZ138"/>
    </row>
    <row r="139" spans="75:122" x14ac:dyDescent="0.4">
      <c r="BW139" s="30"/>
      <c r="BZ139"/>
    </row>
    <row r="140" spans="75:122" x14ac:dyDescent="0.4">
      <c r="BX140"/>
      <c r="BY140"/>
      <c r="BZ140"/>
    </row>
    <row r="141" spans="75:122" x14ac:dyDescent="0.4">
      <c r="BX141"/>
      <c r="BY141"/>
      <c r="BZ141"/>
    </row>
    <row r="142" spans="75:122" x14ac:dyDescent="0.4">
      <c r="BX142"/>
      <c r="BY142"/>
      <c r="BZ142"/>
    </row>
    <row r="143" spans="75:122" x14ac:dyDescent="0.4">
      <c r="BX143"/>
      <c r="BY143"/>
      <c r="BZ143"/>
    </row>
    <row r="144" spans="75:122" x14ac:dyDescent="0.4">
      <c r="BX144"/>
      <c r="BY144"/>
      <c r="BZ144"/>
    </row>
    <row r="145" spans="51:143" x14ac:dyDescent="0.4">
      <c r="BX145"/>
      <c r="BY145"/>
      <c r="BZ145"/>
    </row>
    <row r="146" spans="51:143" s="255" customFormat="1" x14ac:dyDescent="0.4">
      <c r="AY146" s="470"/>
      <c r="AZ146" s="462"/>
      <c r="BC146" s="457"/>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4">
      <c r="AY147" s="470"/>
      <c r="AZ147" s="462"/>
      <c r="BC147" s="457"/>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4">
      <c r="AY148" s="470"/>
      <c r="AZ148" s="462"/>
      <c r="BC148" s="457"/>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4">
      <c r="AY149" s="470"/>
      <c r="AZ149" s="462"/>
      <c r="BC149" s="457"/>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4">
      <c r="AY150" s="470"/>
      <c r="AZ150" s="462"/>
      <c r="BC150" s="457"/>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4">
      <c r="AY151" s="470"/>
      <c r="AZ151" s="462"/>
      <c r="BC151" s="457"/>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4">
      <c r="AY152" s="470"/>
      <c r="AZ152" s="462"/>
      <c r="BC152" s="457"/>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4">
      <c r="BZ153"/>
      <c r="CA153"/>
      <c r="CB153"/>
      <c r="CC153"/>
      <c r="CD153"/>
      <c r="CE153"/>
      <c r="CF153"/>
    </row>
    <row r="154" spans="51:143" x14ac:dyDescent="0.4">
      <c r="CA154"/>
      <c r="CB154"/>
      <c r="CC154" s="30"/>
      <c r="CD154" s="29"/>
      <c r="CE154"/>
      <c r="CF154"/>
    </row>
  </sheetData>
  <sheetProtection password="CF27" sheet="1" objects="1" scenarios="1" selectLockedCells="1"/>
  <customSheetViews>
    <customSheetView guid="{C5ECCA7E-81F6-46F5-BEA0-A5F2DAD22AC9}" scale="90" topLeftCell="A4">
      <selection activeCell="C23" sqref="C23"/>
      <colBreaks count="1" manualBreakCount="1">
        <brk id="67" max="1048575" man="1"/>
      </colBreaks>
      <pageMargins left="0.7" right="0.7" top="0.75" bottom="0" header="0.3" footer="0.3"/>
      <pageSetup scale="34" orientation="portrait" r:id="rId1"/>
    </customSheetView>
    <customSheetView guid="{40D14490-07BB-46F3-8435-9C462BE853EE}" scale="90" topLeftCell="A4">
      <selection activeCell="C23" sqref="C23"/>
      <colBreaks count="1" manualBreakCount="1">
        <brk id="67" max="1048575" man="1"/>
      </colBreaks>
      <pageMargins left="0.7" right="0.7" top="0.75" bottom="0" header="0.3" footer="0.3"/>
      <pageSetup scale="34" orientation="portrait" r:id="rId2"/>
    </customSheetView>
  </customSheetViews>
  <mergeCells count="75">
    <mergeCell ref="BB69:BB78"/>
    <mergeCell ref="BX74:CC78"/>
    <mergeCell ref="BB86:BB91"/>
    <mergeCell ref="C49:H49"/>
    <mergeCell ref="C50:H50"/>
    <mergeCell ref="C51:J51"/>
    <mergeCell ref="AG55:AH55"/>
    <mergeCell ref="BY58:BY68"/>
    <mergeCell ref="BO62:BO64"/>
    <mergeCell ref="K35:M35"/>
    <mergeCell ref="AG34:AZ34"/>
    <mergeCell ref="C48:H48"/>
    <mergeCell ref="B36:M36"/>
    <mergeCell ref="B37:M38"/>
    <mergeCell ref="AG38:AH38"/>
    <mergeCell ref="B39:M40"/>
    <mergeCell ref="B43:M43"/>
    <mergeCell ref="B45:H45"/>
    <mergeCell ref="C46:H46"/>
    <mergeCell ref="C47:H47"/>
    <mergeCell ref="BA40:BA41"/>
    <mergeCell ref="BB40:BG42"/>
    <mergeCell ref="B41:M41"/>
    <mergeCell ref="AW41:AX41"/>
    <mergeCell ref="B42:M42"/>
    <mergeCell ref="AT42:AT43"/>
    <mergeCell ref="AU42:AZ43"/>
    <mergeCell ref="B31:M32"/>
    <mergeCell ref="BH31:BN31"/>
    <mergeCell ref="BO31:BO32"/>
    <mergeCell ref="B33:M33"/>
    <mergeCell ref="B34:M34"/>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EJ1:EL1"/>
    <mergeCell ref="AE2:AI2"/>
    <mergeCell ref="DY2:DZ2"/>
    <mergeCell ref="EC2:EE2"/>
    <mergeCell ref="BH3:BM3"/>
    <mergeCell ref="AE1:AX1"/>
    <mergeCell ref="BP1:BT1"/>
    <mergeCell ref="BU1:CD1"/>
    <mergeCell ref="DC1:DD1"/>
    <mergeCell ref="DV1:DX2"/>
    <mergeCell ref="EC1:EH1"/>
  </mergeCells>
  <pageMargins left="0.7" right="0.7" top="0.75" bottom="0" header="0.3" footer="0.3"/>
  <pageSetup scale="34" orientation="portrait" r:id="rId3"/>
  <colBreaks count="1" manualBreakCount="1">
    <brk id="67" max="104857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39" zoomScale="80" zoomScaleNormal="80" workbookViewId="0">
      <selection activeCell="G67" sqref="G67"/>
    </sheetView>
  </sheetViews>
  <sheetFormatPr defaultRowHeight="12.5" x14ac:dyDescent="0.25"/>
  <cols>
    <col min="1" max="1" width="1.54296875" customWidth="1"/>
    <col min="2" max="2" width="80.81640625" customWidth="1"/>
    <col min="3" max="3" width="11.81640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1" customWidth="1"/>
    <col min="26" max="26" width="12.81640625" customWidth="1"/>
    <col min="30" max="30" width="13.54296875" customWidth="1"/>
    <col min="31" max="31" width="11.1796875" customWidth="1"/>
    <col min="32" max="32" width="17.81640625" bestFit="1" customWidth="1"/>
    <col min="33" max="33" width="18.453125" bestFit="1" customWidth="1"/>
    <col min="34" max="35" width="29.54296875" bestFit="1" customWidth="1"/>
  </cols>
  <sheetData>
    <row r="1" spans="2:41" ht="13" x14ac:dyDescent="0.3">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ht="13" x14ac:dyDescent="0.3">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ht="13" x14ac:dyDescent="0.3">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ht="13" x14ac:dyDescent="0.3">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ht="13" x14ac:dyDescent="0.3">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ht="13" x14ac:dyDescent="0.3">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ht="13" x14ac:dyDescent="0.3">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ht="13" x14ac:dyDescent="0.3">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ht="13" x14ac:dyDescent="0.3">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ht="13" x14ac:dyDescent="0.3">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ht="13" x14ac:dyDescent="0.3">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ht="13" x14ac:dyDescent="0.3">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ht="13" x14ac:dyDescent="0.3">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ht="13" x14ac:dyDescent="0.3">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5">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ht="13" x14ac:dyDescent="0.3">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ht="13" x14ac:dyDescent="0.3">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ht="13" x14ac:dyDescent="0.3">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ht="13" x14ac:dyDescent="0.3">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3" customHeight="1" x14ac:dyDescent="0.3">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3" customHeight="1" x14ac:dyDescent="0.3">
      <c r="B21" s="589"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3" customHeight="1" x14ac:dyDescent="0.3">
      <c r="B22" s="589"/>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3" customHeight="1" x14ac:dyDescent="0.3">
      <c r="B23" s="589"/>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3" customHeight="1" x14ac:dyDescent="0.3">
      <c r="B24" s="589"/>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ht="13" x14ac:dyDescent="0.3">
      <c r="B25" s="589"/>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ht="13" x14ac:dyDescent="0.3">
      <c r="B26" s="589"/>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ht="13" x14ac:dyDescent="0.3">
      <c r="B27" s="590"/>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ht="13" x14ac:dyDescent="0.3">
      <c r="B28" s="588" t="s">
        <v>314</v>
      </c>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M28" s="127"/>
      <c r="AN28" s="127"/>
      <c r="AO28" s="127"/>
    </row>
    <row r="29" spans="2:41" x14ac:dyDescent="0.25">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87.5" x14ac:dyDescent="0.550000000000000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3">
      <c r="B31" s="592"/>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92"/>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92"/>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92"/>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92"/>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92"/>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92"/>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92"/>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92"/>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92"/>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92"/>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92"/>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92"/>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92"/>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92"/>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92"/>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92"/>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92"/>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92"/>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92"/>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92"/>
      <c r="C51" s="114">
        <v>1</v>
      </c>
      <c r="D51" s="114"/>
      <c r="E51" s="181">
        <v>40848</v>
      </c>
      <c r="F51" s="114">
        <v>0.25</v>
      </c>
      <c r="G51" s="202">
        <f t="shared" si="0"/>
        <v>56.25</v>
      </c>
      <c r="H51" s="114">
        <v>9</v>
      </c>
      <c r="I51" s="202">
        <f t="shared" si="4"/>
        <v>-400</v>
      </c>
      <c r="J51" s="328">
        <v>0</v>
      </c>
      <c r="K51" s="127"/>
      <c r="L51" s="345">
        <f t="shared" si="1"/>
        <v>18000</v>
      </c>
      <c r="M51" s="203">
        <f t="shared" si="2"/>
        <v>1125</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92"/>
      <c r="C52" s="114">
        <v>1</v>
      </c>
      <c r="D52" s="114"/>
      <c r="E52" s="181">
        <v>40862</v>
      </c>
      <c r="F52" s="114">
        <v>0.125</v>
      </c>
      <c r="G52" s="202">
        <f t="shared" si="0"/>
        <v>28.125</v>
      </c>
      <c r="H52" s="114">
        <v>8.5</v>
      </c>
      <c r="I52" s="202">
        <f t="shared" si="4"/>
        <v>-66.666666666666671</v>
      </c>
      <c r="J52" s="328">
        <v>0</v>
      </c>
      <c r="K52" s="127"/>
      <c r="L52" s="345">
        <f t="shared" si="1"/>
        <v>17000</v>
      </c>
      <c r="M52" s="203">
        <f t="shared" si="2"/>
        <v>562.5</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92"/>
      <c r="C53" s="114">
        <v>1</v>
      </c>
      <c r="D53" s="114"/>
      <c r="E53" s="181">
        <v>40878</v>
      </c>
      <c r="F53" s="114">
        <v>0.1</v>
      </c>
      <c r="G53" s="202">
        <f t="shared" si="0"/>
        <v>22.5</v>
      </c>
      <c r="H53" s="114">
        <v>8.25</v>
      </c>
      <c r="I53" s="202">
        <f t="shared" si="4"/>
        <v>-33.333333333333336</v>
      </c>
      <c r="J53" s="328">
        <v>0</v>
      </c>
      <c r="K53" s="127"/>
      <c r="L53" s="345">
        <f t="shared" si="1"/>
        <v>16500</v>
      </c>
      <c r="M53" s="203">
        <f t="shared" si="2"/>
        <v>450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93"/>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1">
        <v>43100</v>
      </c>
      <c r="F55" s="297">
        <v>0.125</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83">
        <f>SUM(G31:G55)*15.2</f>
        <v>233603.09999999998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92"/>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92"/>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92"/>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92"/>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92"/>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92"/>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92"/>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92"/>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92"/>
      <c r="C67" s="114"/>
      <c r="D67" s="114">
        <v>1</v>
      </c>
      <c r="E67" s="181">
        <v>40664</v>
      </c>
      <c r="F67" s="114">
        <v>6</v>
      </c>
      <c r="G67" s="202">
        <f t="shared" si="9"/>
        <v>1350</v>
      </c>
      <c r="H67" s="114">
        <v>10</v>
      </c>
      <c r="I67" s="202">
        <f t="shared" si="10"/>
        <v>400</v>
      </c>
      <c r="J67" s="328">
        <v>0.02</v>
      </c>
      <c r="K67" s="127"/>
      <c r="L67" s="203">
        <f t="shared" si="6"/>
        <v>20000</v>
      </c>
      <c r="M67" s="203">
        <f t="shared" si="7"/>
        <v>27000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92"/>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92"/>
      <c r="C69" s="114"/>
      <c r="D69" s="114">
        <v>1</v>
      </c>
      <c r="E69" s="181">
        <v>40695</v>
      </c>
      <c r="F69" s="114">
        <v>8</v>
      </c>
      <c r="G69" s="202">
        <f t="shared" si="9"/>
        <v>1800</v>
      </c>
      <c r="H69" s="114">
        <v>16</v>
      </c>
      <c r="I69" s="202">
        <f t="shared" si="10"/>
        <v>400</v>
      </c>
      <c r="J69" s="328">
        <v>0.04</v>
      </c>
      <c r="K69" s="127"/>
      <c r="L69" s="203">
        <f t="shared" si="6"/>
        <v>32000</v>
      </c>
      <c r="M69" s="203">
        <f t="shared" si="7"/>
        <v>36000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92"/>
      <c r="C70" s="114"/>
      <c r="D70" s="114">
        <v>1</v>
      </c>
      <c r="E70" s="181">
        <v>40709</v>
      </c>
      <c r="F70" s="114">
        <v>8</v>
      </c>
      <c r="G70" s="202">
        <f t="shared" si="9"/>
        <v>1800</v>
      </c>
      <c r="H70" s="114">
        <v>19</v>
      </c>
      <c r="I70" s="202">
        <f t="shared" si="10"/>
        <v>400</v>
      </c>
      <c r="J70" s="328">
        <v>0.05</v>
      </c>
      <c r="K70" s="127"/>
      <c r="L70" s="203">
        <f t="shared" si="6"/>
        <v>38000</v>
      </c>
      <c r="M70" s="203">
        <f t="shared" si="7"/>
        <v>36000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92"/>
      <c r="C71" s="114"/>
      <c r="D71" s="114">
        <v>1</v>
      </c>
      <c r="E71" s="181">
        <v>40725</v>
      </c>
      <c r="F71" s="114">
        <v>6</v>
      </c>
      <c r="G71" s="202">
        <f t="shared" si="9"/>
        <v>1350</v>
      </c>
      <c r="H71" s="114">
        <v>23</v>
      </c>
      <c r="I71" s="202">
        <f t="shared" si="10"/>
        <v>533.33333333333337</v>
      </c>
      <c r="J71" s="328">
        <v>0.05</v>
      </c>
      <c r="K71" s="127"/>
      <c r="L71" s="203">
        <f t="shared" si="6"/>
        <v>46000</v>
      </c>
      <c r="M71" s="203">
        <f t="shared" si="7"/>
        <v>27000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92"/>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92"/>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92"/>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92"/>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92"/>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92"/>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92"/>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92"/>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92"/>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92"/>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93"/>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1">
        <v>43100</v>
      </c>
      <c r="F83" s="297">
        <f>F59</f>
        <v>0</v>
      </c>
      <c r="G83" s="297">
        <f t="shared" ref="G83:N83" si="11">G59</f>
        <v>0</v>
      </c>
      <c r="H83" s="297">
        <v>6</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92"/>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92"/>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92"/>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92"/>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92"/>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92"/>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92"/>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92"/>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92"/>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92"/>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92"/>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92"/>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92"/>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92"/>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92"/>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92"/>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92"/>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92"/>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92"/>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92"/>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92"/>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92"/>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92"/>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93"/>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1">
        <v>43100</v>
      </c>
      <c r="F111" s="297">
        <f>F87</f>
        <v>0</v>
      </c>
      <c r="G111" s="297">
        <f t="shared" ref="G111:N111" si="17">G87</f>
        <v>0</v>
      </c>
      <c r="H111" s="297">
        <v>6</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91"/>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91"/>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91"/>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91"/>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91"/>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91"/>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91"/>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91"/>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91"/>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91"/>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91"/>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91"/>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91"/>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91"/>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91"/>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91"/>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91"/>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91"/>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91"/>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91"/>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91"/>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91"/>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91"/>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91"/>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91"/>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91"/>
      <c r="C144" s="114">
        <v>1</v>
      </c>
      <c r="D144" s="114"/>
      <c r="E144" s="181">
        <v>40558</v>
      </c>
      <c r="F144" s="114"/>
      <c r="G144" s="202">
        <f t="shared" si="24"/>
        <v>0</v>
      </c>
      <c r="H144" s="114">
        <v>8</v>
      </c>
      <c r="I144" s="202">
        <f t="shared" ref="I144:I166" si="28">(L144-L143)/15</f>
        <v>0</v>
      </c>
      <c r="J144" s="328">
        <v>0</v>
      </c>
      <c r="K144" s="127"/>
      <c r="L144" s="203">
        <f t="shared" si="25"/>
        <v>16000</v>
      </c>
      <c r="M144" s="203">
        <f t="shared" si="26"/>
        <v>0</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91"/>
      <c r="C145" s="114">
        <v>1</v>
      </c>
      <c r="D145" s="114"/>
      <c r="E145" s="181">
        <v>40575</v>
      </c>
      <c r="F145" s="114"/>
      <c r="G145" s="202">
        <f t="shared" si="24"/>
        <v>0</v>
      </c>
      <c r="H145" s="114">
        <v>8</v>
      </c>
      <c r="I145" s="202">
        <f t="shared" si="28"/>
        <v>0</v>
      </c>
      <c r="J145" s="328">
        <v>0</v>
      </c>
      <c r="K145" s="127"/>
      <c r="L145" s="203">
        <f t="shared" si="25"/>
        <v>16000</v>
      </c>
      <c r="M145" s="203">
        <f t="shared" si="26"/>
        <v>0</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91"/>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91"/>
      <c r="C147" s="114">
        <v>1</v>
      </c>
      <c r="D147" s="114"/>
      <c r="E147" s="181">
        <v>40603</v>
      </c>
      <c r="F147" s="114"/>
      <c r="G147" s="202">
        <f t="shared" si="24"/>
        <v>0</v>
      </c>
      <c r="H147" s="114">
        <v>7</v>
      </c>
      <c r="I147" s="202">
        <f t="shared" si="28"/>
        <v>-133.33333333333334</v>
      </c>
      <c r="J147" s="328">
        <v>0</v>
      </c>
      <c r="K147" s="127"/>
      <c r="L147" s="203">
        <f t="shared" si="25"/>
        <v>14000</v>
      </c>
      <c r="M147" s="203">
        <f t="shared" si="26"/>
        <v>0</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91"/>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91"/>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91"/>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91"/>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91"/>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91"/>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91"/>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91"/>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91"/>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91"/>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91"/>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91"/>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91"/>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91"/>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91"/>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91"/>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91"/>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91"/>
      <c r="C165" s="114">
        <v>1</v>
      </c>
      <c r="D165" s="114"/>
      <c r="E165" s="181">
        <v>40878</v>
      </c>
      <c r="F165" s="114"/>
      <c r="G165" s="202">
        <f t="shared" si="24"/>
        <v>0</v>
      </c>
      <c r="H165" s="114">
        <v>8</v>
      </c>
      <c r="I165" s="202">
        <f t="shared" si="28"/>
        <v>0</v>
      </c>
      <c r="J165" s="328">
        <v>0</v>
      </c>
      <c r="K165" s="127"/>
      <c r="L165" s="203">
        <f t="shared" si="25"/>
        <v>16000</v>
      </c>
      <c r="M165" s="203">
        <f t="shared" si="26"/>
        <v>0</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91"/>
      <c r="C166" s="114">
        <v>1</v>
      </c>
      <c r="D166" s="114"/>
      <c r="E166" s="181">
        <v>40892</v>
      </c>
      <c r="F166" s="114"/>
      <c r="G166" s="207">
        <f t="shared" si="24"/>
        <v>0</v>
      </c>
      <c r="H166" s="114">
        <v>8</v>
      </c>
      <c r="I166" s="202">
        <f t="shared" si="28"/>
        <v>0</v>
      </c>
      <c r="J166" s="328">
        <v>0</v>
      </c>
      <c r="K166" s="127"/>
      <c r="L166" s="203">
        <f t="shared" si="25"/>
        <v>16000</v>
      </c>
      <c r="M166" s="203">
        <f t="shared" si="26"/>
        <v>0</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1">
        <v>43100</v>
      </c>
      <c r="F167" s="114"/>
      <c r="G167" s="297">
        <f>H143</f>
        <v>8</v>
      </c>
      <c r="H167" s="297">
        <v>8</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91"/>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91"/>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91"/>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91"/>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91"/>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91"/>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91"/>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91"/>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91"/>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91"/>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91"/>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91"/>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91"/>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91"/>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91"/>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91"/>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91"/>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91"/>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91"/>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91"/>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91"/>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91"/>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91"/>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91"/>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1">
        <v>43100</v>
      </c>
      <c r="F195" s="297">
        <v>0</v>
      </c>
      <c r="G195" s="202">
        <f t="shared" si="32"/>
        <v>0</v>
      </c>
      <c r="H195" s="297">
        <v>6</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94"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94"/>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94"/>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94"/>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94"/>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94"/>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94"/>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94"/>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94"/>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94"/>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94"/>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94"/>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94"/>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94"/>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94"/>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94"/>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94"/>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94"/>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94"/>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94"/>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94"/>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94"/>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94"/>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94"/>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95"/>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95"/>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95"/>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95"/>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95"/>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95"/>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ht="13" x14ac:dyDescent="0.3">
      <c r="B233" s="595"/>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ht="13" x14ac:dyDescent="0.3">
      <c r="B234" s="595"/>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ht="13" x14ac:dyDescent="0.3">
      <c r="B235" s="595"/>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ht="13" x14ac:dyDescent="0.3">
      <c r="B236" s="595"/>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ht="13" x14ac:dyDescent="0.3">
      <c r="B237" s="595"/>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ht="13" x14ac:dyDescent="0.3">
      <c r="B238" s="595"/>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ht="13" x14ac:dyDescent="0.3">
      <c r="B239" s="595"/>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ht="13" x14ac:dyDescent="0.3">
      <c r="B240" s="595"/>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ht="13" x14ac:dyDescent="0.3">
      <c r="B241" s="595"/>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ht="13" x14ac:dyDescent="0.3">
      <c r="B242" s="595"/>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ht="13" x14ac:dyDescent="0.3">
      <c r="B243" s="595"/>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ht="13" x14ac:dyDescent="0.3">
      <c r="B244" s="595"/>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ht="13" x14ac:dyDescent="0.3">
      <c r="B245" s="595"/>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ht="13" x14ac:dyDescent="0.3">
      <c r="B246" s="595"/>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ht="13" x14ac:dyDescent="0.3">
      <c r="B247" s="595"/>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ht="13" x14ac:dyDescent="0.3">
      <c r="B248" s="595"/>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ht="13" x14ac:dyDescent="0.3">
      <c r="B249" s="595"/>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ht="13" x14ac:dyDescent="0.3">
      <c r="B250" s="596"/>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1">
        <v>43100</v>
      </c>
      <c r="F251" s="297">
        <f>G227</f>
        <v>0</v>
      </c>
      <c r="G251" s="297">
        <f>H227</f>
        <v>8</v>
      </c>
      <c r="H251" s="297">
        <v>7</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4.5" x14ac:dyDescent="0.35">
      <c r="B255" s="595"/>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597"/>
      <c r="R255" s="597"/>
      <c r="S255" s="597"/>
      <c r="T255" s="597"/>
      <c r="U255" s="597"/>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ht="13" x14ac:dyDescent="0.3">
      <c r="B256" s="595"/>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4.5" x14ac:dyDescent="0.35">
      <c r="B257" s="595"/>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4.5" x14ac:dyDescent="0.35">
      <c r="B258" s="595"/>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4.5" x14ac:dyDescent="0.35">
      <c r="B259" s="595"/>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4.5" x14ac:dyDescent="0.35">
      <c r="B260" s="595"/>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4.5" x14ac:dyDescent="0.35">
      <c r="B261" s="595"/>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ht="13" x14ac:dyDescent="0.3">
      <c r="B262" s="595"/>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ht="13" x14ac:dyDescent="0.3">
      <c r="B263" s="595"/>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ht="13" x14ac:dyDescent="0.3">
      <c r="B264" s="595"/>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ht="13" x14ac:dyDescent="0.3">
      <c r="B265" s="595"/>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ht="13" x14ac:dyDescent="0.3">
      <c r="B266" s="595"/>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ht="13" x14ac:dyDescent="0.3">
      <c r="B267" s="595"/>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ht="13" x14ac:dyDescent="0.3">
      <c r="B268" s="595"/>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ht="13" x14ac:dyDescent="0.3">
      <c r="B269" s="595"/>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ht="13" x14ac:dyDescent="0.3">
      <c r="B270" s="595"/>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ht="13" x14ac:dyDescent="0.3">
      <c r="B271" s="595"/>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ht="13" x14ac:dyDescent="0.3">
      <c r="B272" s="595"/>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ht="13" x14ac:dyDescent="0.3">
      <c r="B273" s="595"/>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ht="13" x14ac:dyDescent="0.3">
      <c r="B274" s="595"/>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ht="13" x14ac:dyDescent="0.3">
      <c r="B275" s="595"/>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ht="13" x14ac:dyDescent="0.3">
      <c r="B276" s="595"/>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ht="13" x14ac:dyDescent="0.3">
      <c r="B277" s="595"/>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ht="13" x14ac:dyDescent="0.3">
      <c r="B278" s="596"/>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1">
        <v>43100</v>
      </c>
      <c r="F279" s="297">
        <f>G255</f>
        <v>0</v>
      </c>
      <c r="G279" s="297">
        <f>H255</f>
        <v>5</v>
      </c>
      <c r="H279" s="297">
        <v>5</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customSheetViews>
    <customSheetView guid="{C5ECCA7E-81F6-46F5-BEA0-A5F2DAD22AC9}" scale="80" topLeftCell="AA1">
      <selection activeCell="AH24" sqref="AH24"/>
      <pageMargins left="0.7" right="0.7" top="0.75" bottom="0.75" header="0.3" footer="0.3"/>
      <pageSetup orientation="portrait" r:id="rId1"/>
    </customSheetView>
    <customSheetView guid="{40D14490-07BB-46F3-8435-9C462BE853EE}" scale="80" topLeftCell="AA1">
      <selection activeCell="AH24" sqref="AH24"/>
      <pageMargins left="0.7" right="0.7" top="0.75" bottom="0.75" header="0.3" footer="0.3"/>
      <pageSetup orientation="portrait" r:id="rId2"/>
    </customSheetView>
  </customSheetViews>
  <mergeCells count="12">
    <mergeCell ref="B171:B194"/>
    <mergeCell ref="B199:B222"/>
    <mergeCell ref="B227:B250"/>
    <mergeCell ref="B255:B278"/>
    <mergeCell ref="Q255:U255"/>
    <mergeCell ref="B28:AB28"/>
    <mergeCell ref="B21:B27"/>
    <mergeCell ref="B143:B166"/>
    <mergeCell ref="B31:B54"/>
    <mergeCell ref="B59:B82"/>
    <mergeCell ref="B87:B110"/>
    <mergeCell ref="B115:B138"/>
  </mergeCells>
  <pageMargins left="0.7" right="0.7"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opLeftCell="D11" workbookViewId="0">
      <selection activeCell="L27" sqref="L27"/>
    </sheetView>
  </sheetViews>
  <sheetFormatPr defaultRowHeight="12.5" x14ac:dyDescent="0.25"/>
  <cols>
    <col min="2" max="7" width="10.6328125" customWidth="1"/>
    <col min="8" max="9" width="12.6328125" customWidth="1"/>
  </cols>
  <sheetData>
    <row r="9" spans="1:10" ht="13" x14ac:dyDescent="0.3">
      <c r="B9" s="127"/>
      <c r="C9" s="127"/>
      <c r="D9" s="127"/>
      <c r="E9" s="178" t="s">
        <v>44</v>
      </c>
      <c r="F9" s="434">
        <f>'Current version'!AZ33</f>
        <v>1</v>
      </c>
      <c r="G9" s="127"/>
      <c r="H9" s="127"/>
      <c r="I9" s="127"/>
      <c r="J9" s="127"/>
    </row>
    <row r="10" spans="1:10" s="20" customFormat="1" ht="52" x14ac:dyDescent="0.25">
      <c r="B10" s="430"/>
      <c r="C10" s="430"/>
      <c r="D10" s="427" t="s">
        <v>288</v>
      </c>
      <c r="E10" s="427" t="s">
        <v>289</v>
      </c>
      <c r="F10" s="427" t="s">
        <v>291</v>
      </c>
      <c r="G10" s="432" t="s">
        <v>290</v>
      </c>
      <c r="H10" s="432" t="s">
        <v>292</v>
      </c>
      <c r="I10" s="432" t="s">
        <v>368</v>
      </c>
      <c r="J10" s="430"/>
    </row>
    <row r="11" spans="1:10" ht="15.5" x14ac:dyDescent="0.35">
      <c r="A11" s="598" t="s">
        <v>367</v>
      </c>
      <c r="B11" s="598"/>
      <c r="C11" s="598"/>
      <c r="D11" s="435">
        <v>0</v>
      </c>
      <c r="E11" s="435">
        <v>1</v>
      </c>
      <c r="F11" s="435">
        <v>2</v>
      </c>
      <c r="G11" s="435">
        <v>3</v>
      </c>
      <c r="H11" s="435">
        <v>4</v>
      </c>
      <c r="I11" s="436" t="s">
        <v>320</v>
      </c>
      <c r="J11" s="127"/>
    </row>
    <row r="12" spans="1:10" ht="13" x14ac:dyDescent="0.3">
      <c r="B12" s="438">
        <f>'Current version'!AZ4</f>
        <v>40544</v>
      </c>
      <c r="C12" s="428">
        <f t="shared" ref="C12:C35" si="0">IF($F$9=0,0,IF($F$9=1,E12,IF($F$9=2,F12,IF($F$9=3,G12,IF($F$9=4,H12,IF($F$9="x",I12,"error"))))))</f>
        <v>0</v>
      </c>
      <c r="D12" s="428"/>
      <c r="E12" s="428"/>
      <c r="F12" s="428"/>
      <c r="G12" s="428"/>
      <c r="H12" s="175"/>
      <c r="I12" s="431"/>
      <c r="J12" s="181">
        <f t="shared" ref="J12:J35" si="1">B12</f>
        <v>40544</v>
      </c>
    </row>
    <row r="13" spans="1:10" ht="13" x14ac:dyDescent="0.3">
      <c r="B13" s="439">
        <f>'Current version'!AZ5</f>
        <v>40558</v>
      </c>
      <c r="C13" s="428">
        <f t="shared" si="0"/>
        <v>0</v>
      </c>
      <c r="D13" s="428"/>
      <c r="E13" s="428"/>
      <c r="F13" s="428"/>
      <c r="G13" s="428"/>
      <c r="H13" s="175"/>
      <c r="I13" s="114"/>
      <c r="J13" s="181">
        <f t="shared" si="1"/>
        <v>40558</v>
      </c>
    </row>
    <row r="14" spans="1:10" ht="13" x14ac:dyDescent="0.3">
      <c r="B14" s="439">
        <f>'Current version'!AZ6</f>
        <v>40575</v>
      </c>
      <c r="C14" s="428">
        <f t="shared" si="0"/>
        <v>0</v>
      </c>
      <c r="D14" s="428"/>
      <c r="E14" s="428"/>
      <c r="F14" s="428"/>
      <c r="G14" s="428"/>
      <c r="H14" s="175"/>
      <c r="I14" s="306"/>
      <c r="J14" s="181">
        <f t="shared" si="1"/>
        <v>40575</v>
      </c>
    </row>
    <row r="15" spans="1:10" ht="13" x14ac:dyDescent="0.3">
      <c r="B15" s="439">
        <f>'Current version'!AZ7</f>
        <v>40589</v>
      </c>
      <c r="C15" s="428">
        <f t="shared" si="0"/>
        <v>0</v>
      </c>
      <c r="D15" s="428"/>
      <c r="E15" s="428"/>
      <c r="F15" s="428"/>
      <c r="G15" s="428"/>
      <c r="H15" s="440"/>
      <c r="I15" s="114"/>
      <c r="J15" s="437">
        <f t="shared" si="1"/>
        <v>40589</v>
      </c>
    </row>
    <row r="16" spans="1:10" ht="13" x14ac:dyDescent="0.3">
      <c r="B16" s="439">
        <f>'Current version'!AZ8</f>
        <v>40603</v>
      </c>
      <c r="C16" s="428">
        <f t="shared" si="0"/>
        <v>0</v>
      </c>
      <c r="D16" s="428"/>
      <c r="E16" s="428"/>
      <c r="F16" s="428"/>
      <c r="G16" s="428"/>
      <c r="H16" s="440"/>
      <c r="I16" s="114"/>
      <c r="J16" s="437">
        <f t="shared" si="1"/>
        <v>40603</v>
      </c>
    </row>
    <row r="17" spans="2:10" ht="13" x14ac:dyDescent="0.3">
      <c r="B17" s="439">
        <f>'Current version'!AZ9</f>
        <v>40617</v>
      </c>
      <c r="C17" s="428">
        <f t="shared" si="0"/>
        <v>0</v>
      </c>
      <c r="D17" s="428"/>
      <c r="E17" s="428"/>
      <c r="F17" s="428"/>
      <c r="G17" s="428"/>
      <c r="H17" s="440"/>
      <c r="I17" s="114"/>
      <c r="J17" s="437">
        <f t="shared" si="1"/>
        <v>40617</v>
      </c>
    </row>
    <row r="18" spans="2:10" ht="13" x14ac:dyDescent="0.3">
      <c r="B18" s="439">
        <f>'Current version'!AZ10</f>
        <v>40634</v>
      </c>
      <c r="C18" s="428">
        <f t="shared" si="0"/>
        <v>0</v>
      </c>
      <c r="D18" s="428"/>
      <c r="E18" s="428"/>
      <c r="F18" s="428"/>
      <c r="G18" s="428"/>
      <c r="H18" s="440"/>
      <c r="I18" s="114"/>
      <c r="J18" s="437">
        <f t="shared" si="1"/>
        <v>40634</v>
      </c>
    </row>
    <row r="19" spans="2:10" ht="13" x14ac:dyDescent="0.3">
      <c r="B19" s="439">
        <f>'Current version'!AZ11</f>
        <v>40648</v>
      </c>
      <c r="C19" s="428">
        <f t="shared" si="0"/>
        <v>0</v>
      </c>
      <c r="D19" s="428"/>
      <c r="E19" s="428"/>
      <c r="F19" s="428"/>
      <c r="G19" s="428"/>
      <c r="H19" s="440"/>
      <c r="I19" s="114"/>
      <c r="J19" s="437">
        <f t="shared" si="1"/>
        <v>40648</v>
      </c>
    </row>
    <row r="20" spans="2:10" ht="13" x14ac:dyDescent="0.3">
      <c r="B20" s="439">
        <f>'Current version'!AZ12</f>
        <v>40664</v>
      </c>
      <c r="C20" s="428">
        <f t="shared" si="0"/>
        <v>0</v>
      </c>
      <c r="D20" s="428"/>
      <c r="E20" s="428"/>
      <c r="F20" s="428"/>
      <c r="G20" s="428"/>
      <c r="H20" s="440"/>
      <c r="I20" s="114"/>
      <c r="J20" s="437">
        <f t="shared" si="1"/>
        <v>40664</v>
      </c>
    </row>
    <row r="21" spans="2:10" ht="13" x14ac:dyDescent="0.3">
      <c r="B21" s="439">
        <f>'Current version'!AZ13</f>
        <v>40678</v>
      </c>
      <c r="C21" s="428">
        <f t="shared" si="0"/>
        <v>0</v>
      </c>
      <c r="D21" s="428"/>
      <c r="E21" s="428"/>
      <c r="F21" s="428"/>
      <c r="G21" s="428"/>
      <c r="H21" s="440"/>
      <c r="I21" s="114"/>
      <c r="J21" s="437">
        <f t="shared" si="1"/>
        <v>40678</v>
      </c>
    </row>
    <row r="22" spans="2:10" x14ac:dyDescent="0.25">
      <c r="B22" s="439">
        <f>'Current version'!AZ14</f>
        <v>40695</v>
      </c>
      <c r="C22" s="428">
        <f t="shared" si="0"/>
        <v>2</v>
      </c>
      <c r="D22" s="428">
        <v>0</v>
      </c>
      <c r="E22" s="349">
        <v>2</v>
      </c>
      <c r="F22" s="428">
        <v>5</v>
      </c>
      <c r="G22" s="428">
        <v>10</v>
      </c>
      <c r="H22" s="440">
        <v>20</v>
      </c>
      <c r="I22" s="153">
        <v>10</v>
      </c>
      <c r="J22" s="437">
        <f t="shared" si="1"/>
        <v>40695</v>
      </c>
    </row>
    <row r="23" spans="2:10" x14ac:dyDescent="0.25">
      <c r="B23" s="439">
        <f>'Current version'!AZ15</f>
        <v>40709</v>
      </c>
      <c r="C23" s="428">
        <f t="shared" si="0"/>
        <v>3</v>
      </c>
      <c r="D23" s="428">
        <v>0</v>
      </c>
      <c r="E23" s="349">
        <v>3</v>
      </c>
      <c r="F23" s="428">
        <v>5</v>
      </c>
      <c r="G23" s="428">
        <v>10</v>
      </c>
      <c r="H23" s="440">
        <v>30</v>
      </c>
      <c r="I23" s="153">
        <v>20</v>
      </c>
      <c r="J23" s="437">
        <f t="shared" si="1"/>
        <v>40709</v>
      </c>
    </row>
    <row r="24" spans="2:10" x14ac:dyDescent="0.25">
      <c r="B24" s="439">
        <f>'Current version'!AZ16</f>
        <v>40725</v>
      </c>
      <c r="C24" s="428">
        <f t="shared" si="0"/>
        <v>5</v>
      </c>
      <c r="D24" s="428">
        <v>0</v>
      </c>
      <c r="E24" s="349">
        <v>5</v>
      </c>
      <c r="F24" s="428">
        <v>15</v>
      </c>
      <c r="G24" s="428">
        <v>21</v>
      </c>
      <c r="H24" s="440">
        <v>45</v>
      </c>
      <c r="I24" s="153">
        <v>40</v>
      </c>
      <c r="J24" s="437">
        <f t="shared" si="1"/>
        <v>40725</v>
      </c>
    </row>
    <row r="25" spans="2:10" x14ac:dyDescent="0.25">
      <c r="B25" s="439">
        <f>'Current version'!AZ17</f>
        <v>40739</v>
      </c>
      <c r="C25" s="428">
        <f t="shared" si="0"/>
        <v>10</v>
      </c>
      <c r="D25" s="428">
        <v>0</v>
      </c>
      <c r="E25" s="349">
        <v>10</v>
      </c>
      <c r="F25" s="428">
        <v>20</v>
      </c>
      <c r="G25" s="428">
        <v>45</v>
      </c>
      <c r="H25" s="440">
        <v>75</v>
      </c>
      <c r="I25" s="153"/>
      <c r="J25" s="437">
        <f t="shared" si="1"/>
        <v>40739</v>
      </c>
    </row>
    <row r="26" spans="2:10" x14ac:dyDescent="0.25">
      <c r="B26" s="439">
        <f>'Current version'!AZ18</f>
        <v>40756</v>
      </c>
      <c r="C26" s="428">
        <f t="shared" si="0"/>
        <v>15</v>
      </c>
      <c r="D26" s="428">
        <v>0</v>
      </c>
      <c r="E26" s="349">
        <v>15</v>
      </c>
      <c r="F26" s="428">
        <v>50</v>
      </c>
      <c r="G26" s="207">
        <v>130</v>
      </c>
      <c r="H26" s="440">
        <v>200</v>
      </c>
      <c r="I26" s="153">
        <v>10</v>
      </c>
      <c r="J26" s="437">
        <f t="shared" si="1"/>
        <v>40756</v>
      </c>
    </row>
    <row r="27" spans="2:10" x14ac:dyDescent="0.25">
      <c r="B27" s="439">
        <f>'Current version'!AZ19</f>
        <v>40770</v>
      </c>
      <c r="C27" s="428">
        <f t="shared" si="0"/>
        <v>30</v>
      </c>
      <c r="D27" s="428">
        <v>0</v>
      </c>
      <c r="E27" s="349">
        <v>30</v>
      </c>
      <c r="F27" s="428">
        <v>100</v>
      </c>
      <c r="G27" s="207">
        <v>175</v>
      </c>
      <c r="H27" s="440">
        <v>400</v>
      </c>
      <c r="I27" s="153"/>
      <c r="J27" s="437">
        <f t="shared" si="1"/>
        <v>40770</v>
      </c>
    </row>
    <row r="28" spans="2:10" x14ac:dyDescent="0.25">
      <c r="B28" s="439">
        <f>'Current version'!AZ20</f>
        <v>40787</v>
      </c>
      <c r="C28" s="428">
        <f t="shared" si="0"/>
        <v>40</v>
      </c>
      <c r="D28" s="428">
        <v>0</v>
      </c>
      <c r="E28" s="349">
        <v>40</v>
      </c>
      <c r="F28" s="428">
        <v>125</v>
      </c>
      <c r="G28" s="207">
        <v>210</v>
      </c>
      <c r="H28" s="440">
        <v>500</v>
      </c>
      <c r="I28" s="153"/>
      <c r="J28" s="437">
        <f t="shared" si="1"/>
        <v>40787</v>
      </c>
    </row>
    <row r="29" spans="2:10" x14ac:dyDescent="0.25">
      <c r="B29" s="439">
        <f>'Current version'!AZ21</f>
        <v>40801</v>
      </c>
      <c r="C29" s="428">
        <f t="shared" si="0"/>
        <v>50</v>
      </c>
      <c r="D29" s="428">
        <v>0</v>
      </c>
      <c r="E29" s="349">
        <v>50</v>
      </c>
      <c r="F29" s="428">
        <v>100</v>
      </c>
      <c r="G29" s="207">
        <v>180</v>
      </c>
      <c r="H29" s="440">
        <v>400</v>
      </c>
      <c r="I29" s="153"/>
      <c r="J29" s="437">
        <f t="shared" si="1"/>
        <v>40801</v>
      </c>
    </row>
    <row r="30" spans="2:10" x14ac:dyDescent="0.25">
      <c r="B30" s="439">
        <f>'Current version'!AZ22</f>
        <v>40817</v>
      </c>
      <c r="C30" s="428">
        <f t="shared" si="0"/>
        <v>30</v>
      </c>
      <c r="D30" s="428">
        <v>0</v>
      </c>
      <c r="E30" s="349">
        <v>30</v>
      </c>
      <c r="F30" s="428">
        <v>50</v>
      </c>
      <c r="G30" s="207">
        <v>130</v>
      </c>
      <c r="H30" s="440">
        <v>200</v>
      </c>
      <c r="I30" s="153"/>
      <c r="J30" s="437">
        <f t="shared" si="1"/>
        <v>40817</v>
      </c>
    </row>
    <row r="31" spans="2:10" x14ac:dyDescent="0.25">
      <c r="B31" s="439">
        <f>'Current version'!AZ23</f>
        <v>40831</v>
      </c>
      <c r="C31" s="428">
        <f t="shared" si="0"/>
        <v>10</v>
      </c>
      <c r="D31" s="428">
        <v>0</v>
      </c>
      <c r="E31" s="349">
        <v>10</v>
      </c>
      <c r="F31" s="428">
        <v>25</v>
      </c>
      <c r="G31" s="207">
        <v>75</v>
      </c>
      <c r="H31" s="440">
        <v>100</v>
      </c>
      <c r="I31" s="153"/>
      <c r="J31" s="437">
        <f t="shared" si="1"/>
        <v>40831</v>
      </c>
    </row>
    <row r="32" spans="2:10" x14ac:dyDescent="0.25">
      <c r="B32" s="439">
        <f>'Current version'!AZ24</f>
        <v>40848</v>
      </c>
      <c r="C32" s="428">
        <f t="shared" si="0"/>
        <v>5</v>
      </c>
      <c r="D32" s="428">
        <v>0</v>
      </c>
      <c r="E32" s="349">
        <v>5</v>
      </c>
      <c r="F32" s="428">
        <v>5</v>
      </c>
      <c r="G32" s="207">
        <v>14</v>
      </c>
      <c r="H32" s="440">
        <v>30</v>
      </c>
      <c r="I32" s="153"/>
      <c r="J32" s="437">
        <f t="shared" si="1"/>
        <v>40848</v>
      </c>
    </row>
    <row r="33" spans="2:10" ht="13" x14ac:dyDescent="0.3">
      <c r="B33" s="439">
        <f>'Current version'!AZ25</f>
        <v>40862</v>
      </c>
      <c r="C33" s="428">
        <f t="shared" si="0"/>
        <v>0</v>
      </c>
      <c r="D33" s="428"/>
      <c r="E33" s="349"/>
      <c r="F33" s="428"/>
      <c r="G33" s="207"/>
      <c r="H33" s="440"/>
      <c r="I33" s="429"/>
      <c r="J33" s="437">
        <f t="shared" si="1"/>
        <v>40862</v>
      </c>
    </row>
    <row r="34" spans="2:10" ht="13" x14ac:dyDescent="0.3">
      <c r="B34" s="439">
        <f>'Current version'!AZ26</f>
        <v>40878</v>
      </c>
      <c r="C34" s="428">
        <f t="shared" si="0"/>
        <v>0</v>
      </c>
      <c r="D34" s="428"/>
      <c r="E34" s="349"/>
      <c r="F34" s="428"/>
      <c r="G34" s="207"/>
      <c r="H34" s="440"/>
      <c r="I34" s="429"/>
      <c r="J34" s="437">
        <f t="shared" si="1"/>
        <v>40878</v>
      </c>
    </row>
    <row r="35" spans="2:10" ht="13" x14ac:dyDescent="0.3">
      <c r="B35" s="439">
        <f>'Current version'!AZ27</f>
        <v>40892</v>
      </c>
      <c r="C35" s="428">
        <f t="shared" si="0"/>
        <v>0</v>
      </c>
      <c r="D35" s="428"/>
      <c r="E35" s="349"/>
      <c r="F35" s="428"/>
      <c r="G35" s="207"/>
      <c r="H35" s="440"/>
      <c r="I35" s="429"/>
      <c r="J35" s="437">
        <f t="shared" si="1"/>
        <v>40892</v>
      </c>
    </row>
    <row r="36" spans="2:10" ht="13" x14ac:dyDescent="0.3">
      <c r="B36" s="599" t="s">
        <v>369</v>
      </c>
      <c r="C36" s="599"/>
      <c r="D36" s="433">
        <f>SUM(D12:D35)</f>
        <v>0</v>
      </c>
      <c r="E36" s="433">
        <f>SUM(E12:E35)</f>
        <v>200</v>
      </c>
      <c r="F36" s="433">
        <f>SUM(F12:F35)</f>
        <v>500</v>
      </c>
      <c r="G36" s="433">
        <v>1000</v>
      </c>
      <c r="H36" s="441">
        <f>SUM(H12:H35)</f>
        <v>2000</v>
      </c>
      <c r="I36" s="433">
        <f>SUM(I12:I35)</f>
        <v>80</v>
      </c>
      <c r="J36" s="127"/>
    </row>
  </sheetData>
  <sheetProtection password="CF27" sheet="1" objects="1" scenarios="1"/>
  <customSheetViews>
    <customSheetView guid="{C5ECCA7E-81F6-46F5-BEA0-A5F2DAD22AC9}" topLeftCell="A12">
      <selection activeCell="M24" sqref="M24"/>
      <pageMargins left="0.7" right="0.7" top="0.75" bottom="0.75" header="0.3" footer="0.3"/>
    </customSheetView>
    <customSheetView guid="{40D14490-07BB-46F3-8435-9C462BE853EE}" topLeftCell="A12">
      <selection activeCell="M24" sqref="M24"/>
      <pageMargins left="0.7" right="0.7" top="0.75" bottom="0.75" header="0.3" footer="0.3"/>
    </customSheetView>
  </customSheetViews>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3" zoomScale="85" zoomScaleNormal="85" workbookViewId="0">
      <selection activeCell="J22" sqref="J22"/>
    </sheetView>
  </sheetViews>
  <sheetFormatPr defaultRowHeight="12.5" x14ac:dyDescent="0.25"/>
  <sheetData>
    <row r="1" spans="1:2" x14ac:dyDescent="0.25">
      <c r="A1" s="284"/>
      <c r="B1" t="s">
        <v>323</v>
      </c>
    </row>
    <row r="23" spans="2:18" ht="12.75" customHeight="1" x14ac:dyDescent="0.25">
      <c r="K23" s="496" t="s">
        <v>324</v>
      </c>
      <c r="L23" s="496"/>
      <c r="M23" s="496"/>
      <c r="N23" s="496"/>
      <c r="O23" s="496"/>
      <c r="P23" s="496"/>
      <c r="Q23" s="496"/>
      <c r="R23" s="496"/>
    </row>
    <row r="24" spans="2:18" x14ac:dyDescent="0.25">
      <c r="K24" s="496"/>
      <c r="L24" s="496"/>
      <c r="M24" s="496"/>
      <c r="N24" s="496"/>
      <c r="O24" s="496"/>
      <c r="P24" s="496"/>
      <c r="Q24" s="496"/>
      <c r="R24" s="496"/>
    </row>
    <row r="25" spans="2:18" x14ac:dyDescent="0.25">
      <c r="K25" s="496"/>
      <c r="L25" s="496"/>
      <c r="M25" s="496"/>
      <c r="N25" s="496"/>
      <c r="O25" s="496"/>
      <c r="P25" s="496"/>
      <c r="Q25" s="496"/>
      <c r="R25" s="496"/>
    </row>
    <row r="26" spans="2:18" x14ac:dyDescent="0.25">
      <c r="K26" s="496"/>
      <c r="L26" s="496"/>
      <c r="M26" s="496"/>
      <c r="N26" s="496"/>
      <c r="O26" s="496"/>
      <c r="P26" s="496"/>
      <c r="Q26" s="496"/>
      <c r="R26" s="496"/>
    </row>
    <row r="27" spans="2:18" x14ac:dyDescent="0.25">
      <c r="K27" s="496"/>
      <c r="L27" s="496"/>
      <c r="M27" s="496"/>
      <c r="N27" s="496"/>
      <c r="O27" s="496"/>
      <c r="P27" s="496"/>
      <c r="Q27" s="496"/>
      <c r="R27" s="496"/>
    </row>
    <row r="28" spans="2:18" x14ac:dyDescent="0.25">
      <c r="K28" s="496"/>
      <c r="L28" s="496"/>
      <c r="M28" s="496"/>
      <c r="N28" s="496"/>
      <c r="O28" s="496"/>
      <c r="P28" s="496"/>
      <c r="Q28" s="496"/>
      <c r="R28" s="496"/>
    </row>
    <row r="29" spans="2:18" ht="62.5" x14ac:dyDescent="0.25">
      <c r="B29" s="346"/>
      <c r="C29" s="347" t="s">
        <v>382</v>
      </c>
      <c r="D29" s="347" t="s">
        <v>381</v>
      </c>
      <c r="E29" s="20" t="s">
        <v>345</v>
      </c>
      <c r="F29" s="20" t="s">
        <v>383</v>
      </c>
      <c r="G29" s="20" t="s">
        <v>127</v>
      </c>
      <c r="H29" s="20" t="s">
        <v>384</v>
      </c>
      <c r="K29" s="496"/>
      <c r="L29" s="496"/>
      <c r="M29" s="496"/>
      <c r="N29" s="496"/>
      <c r="O29" s="496"/>
      <c r="P29" s="496"/>
      <c r="Q29" s="496"/>
      <c r="R29" s="496"/>
    </row>
    <row r="30" spans="2:18" x14ac:dyDescent="0.25">
      <c r="B30" s="346">
        <v>40544</v>
      </c>
      <c r="C30" s="284">
        <f>'Current version'!DC4</f>
        <v>-5.0125418235442863E-3</v>
      </c>
      <c r="E30" s="18">
        <f>'Current version'!DE4</f>
        <v>100</v>
      </c>
      <c r="H30" s="17">
        <f t="shared" ref="H30:H54" si="0">F30+G30</f>
        <v>0</v>
      </c>
    </row>
    <row r="31" spans="2:18" ht="13" x14ac:dyDescent="0.3">
      <c r="B31" s="346">
        <v>40558</v>
      </c>
      <c r="C31" s="284">
        <f>'Current version'!DC5</f>
        <v>2.0823662100919679E-2</v>
      </c>
      <c r="D31" s="284">
        <f>(LN('Current version'!BQ5/'Current version'!BQ4))/('Current version'!AZ5-'Current version'!AZ4)</f>
        <v>0</v>
      </c>
      <c r="E31" s="18">
        <f>'Current version'!DE5</f>
        <v>92.660083310629844</v>
      </c>
      <c r="F31" s="17">
        <f>'Current version'!BA5-'Current version'!BA4</f>
        <v>-7.3399166893701562</v>
      </c>
      <c r="G31" s="135">
        <f>'Current version'!DQ4</f>
        <v>0</v>
      </c>
      <c r="H31" s="17">
        <f t="shared" si="0"/>
        <v>-7.3399166893701562</v>
      </c>
    </row>
    <row r="32" spans="2:18" ht="13" x14ac:dyDescent="0.3">
      <c r="B32" s="346">
        <v>40575</v>
      </c>
      <c r="C32" s="284">
        <f>'Current version'!DC6</f>
        <v>2.2065264002602884E-2</v>
      </c>
      <c r="D32" s="284">
        <f>(LN('Current version'!BQ6/'Current version'!BQ5))/('Current version'!AZ6-'Current version'!AZ5)</f>
        <v>0</v>
      </c>
      <c r="E32" s="18">
        <f>'Current version'!DE6</f>
        <v>100.32108346182575</v>
      </c>
      <c r="F32" s="17">
        <f>'Current version'!BA6-'Current version'!BA5</f>
        <v>7.6610001511959069</v>
      </c>
      <c r="G32" s="135">
        <f>'Current version'!DQ5</f>
        <v>0</v>
      </c>
      <c r="H32" s="17">
        <f t="shared" si="0"/>
        <v>7.6610001511959069</v>
      </c>
    </row>
    <row r="33" spans="2:8" ht="13" x14ac:dyDescent="0.3">
      <c r="B33" s="346">
        <v>40589</v>
      </c>
      <c r="C33" s="284">
        <f>'Current version'!DC7</f>
        <v>2.7424563300131304E-2</v>
      </c>
      <c r="D33" s="284">
        <f>(LN('Current version'!BQ7/'Current version'!BQ6))/('Current version'!AZ7-'Current version'!AZ6)</f>
        <v>-9.5379566160373307E-3</v>
      </c>
      <c r="E33" s="18">
        <f>'Current version'!DE7</f>
        <v>124.42065763678137</v>
      </c>
      <c r="F33" s="17">
        <f>'Current version'!BA7-'Current version'!BA6</f>
        <v>24.09957417495562</v>
      </c>
      <c r="G33" s="135">
        <f>'Current version'!DQ6</f>
        <v>0</v>
      </c>
      <c r="H33" s="17">
        <f t="shared" si="0"/>
        <v>24.09957417495562</v>
      </c>
    </row>
    <row r="34" spans="2:8" ht="13" x14ac:dyDescent="0.3">
      <c r="B34" s="346">
        <v>40603</v>
      </c>
      <c r="C34" s="284">
        <f>'Current version'!DC8</f>
        <v>2.9482251264468896E-2</v>
      </c>
      <c r="D34" s="284">
        <f>(LN('Current version'!BQ8/'Current version'!BQ7))/('Current version'!AZ8-'Current version'!AZ7)</f>
        <v>0</v>
      </c>
      <c r="E34" s="18">
        <f>'Current version'!DE8</f>
        <v>158.6749522648</v>
      </c>
      <c r="F34" s="17">
        <f>'Current version'!BA8-'Current version'!BA7</f>
        <v>34.254294628018627</v>
      </c>
      <c r="G34" s="135">
        <f>'Current version'!DQ7</f>
        <v>0</v>
      </c>
      <c r="H34" s="17">
        <f t="shared" si="0"/>
        <v>34.254294628018627</v>
      </c>
    </row>
    <row r="35" spans="2:8" ht="13" x14ac:dyDescent="0.3">
      <c r="B35" s="346">
        <v>40617</v>
      </c>
      <c r="C35" s="284">
        <f>'Current version'!DC9</f>
        <v>3.7407924845798232E-2</v>
      </c>
      <c r="D35" s="284">
        <f>(LN('Current version'!BQ9/'Current version'!BQ8))/('Current version'!AZ9-'Current version'!AZ8)</f>
        <v>-1.1010762844804168E-2</v>
      </c>
      <c r="E35" s="18">
        <f>'Current version'!DE9</f>
        <v>210.62746864578881</v>
      </c>
      <c r="F35" s="17">
        <f>'Current version'!BA9-'Current version'!BA8</f>
        <v>51.952516380988811</v>
      </c>
      <c r="G35" s="135">
        <f>'Current version'!DQ8</f>
        <v>0</v>
      </c>
      <c r="H35" s="17">
        <f t="shared" si="0"/>
        <v>51.952516380988811</v>
      </c>
    </row>
    <row r="36" spans="2:8" ht="13" x14ac:dyDescent="0.3">
      <c r="B36" s="346">
        <v>40634</v>
      </c>
      <c r="C36" s="284">
        <f>'Current version'!DC10</f>
        <v>4.498676952804382E-2</v>
      </c>
      <c r="D36" s="284">
        <f>(LN('Current version'!BQ10/'Current version'!BQ9))/('Current version'!AZ10-'Current version'!AZ9)</f>
        <v>0</v>
      </c>
      <c r="E36" s="18">
        <f>'Current version'!DE10</f>
        <v>300.29874118793583</v>
      </c>
      <c r="F36" s="17">
        <f>'Current version'!BA10-'Current version'!BA9</f>
        <v>89.671272542147022</v>
      </c>
      <c r="G36" s="135">
        <f>'Current version'!DQ9</f>
        <v>0</v>
      </c>
      <c r="H36" s="17">
        <f t="shared" si="0"/>
        <v>89.671272542147022</v>
      </c>
    </row>
    <row r="37" spans="2:8" ht="13" x14ac:dyDescent="0.3">
      <c r="B37" s="346">
        <v>40648</v>
      </c>
      <c r="C37" s="284">
        <f>'Current version'!DC11</f>
        <v>5.1143018443206859E-2</v>
      </c>
      <c r="D37" s="284">
        <f>(LN('Current version'!BQ11/'Current version'!BQ10))/('Current version'!AZ11-'Current version'!AZ10)</f>
        <v>2.054871946084149E-2</v>
      </c>
      <c r="E37" s="18">
        <f>'Current version'!DE11</f>
        <v>47.528153417114936</v>
      </c>
      <c r="F37" s="17">
        <f>'Current version'!BA11-'Current version'!BA10</f>
        <v>-252.7705877708209</v>
      </c>
      <c r="G37" s="135">
        <f>'Current version'!DQ10</f>
        <v>427.75338075403471</v>
      </c>
      <c r="H37" s="17">
        <f t="shared" si="0"/>
        <v>174.98279298321381</v>
      </c>
    </row>
    <row r="38" spans="2:8" ht="13" x14ac:dyDescent="0.3">
      <c r="B38" s="346">
        <v>40664</v>
      </c>
      <c r="C38" s="284">
        <f>'Current version'!DC12</f>
        <v>4.8750503060226928E-2</v>
      </c>
      <c r="D38" s="284">
        <f>(LN('Current version'!BQ12/'Current version'!BQ11))/('Current version'!AZ12-'Current version'!AZ11)</f>
        <v>1.9903358194908412E-2</v>
      </c>
      <c r="E38" s="18">
        <f>'Current version'!DE12</f>
        <v>75.712463328523583</v>
      </c>
      <c r="F38" s="17">
        <f>'Current version'!BA12-'Current version'!BA11</f>
        <v>28.184309911408647</v>
      </c>
      <c r="G38" s="135">
        <f>'Current version'!DQ11</f>
        <v>0</v>
      </c>
      <c r="H38" s="17">
        <f t="shared" si="0"/>
        <v>28.184309911408647</v>
      </c>
    </row>
    <row r="39" spans="2:8" ht="13" x14ac:dyDescent="0.3">
      <c r="B39" s="346">
        <v>40678</v>
      </c>
      <c r="C39" s="284">
        <f>'Current version'!DC13</f>
        <v>4.5138711588727939E-2</v>
      </c>
      <c r="D39" s="284">
        <f>(LN('Current version'!BQ13/'Current version'!BQ12))/('Current version'!AZ13-'Current version'!AZ12)</f>
        <v>2.2153923450274247E-2</v>
      </c>
      <c r="E39" s="18">
        <f>'Current version'!DE13</f>
        <v>119.40933612985226</v>
      </c>
      <c r="F39" s="17">
        <f>'Current version'!BA13-'Current version'!BA12</f>
        <v>43.696872801328681</v>
      </c>
      <c r="G39" s="135">
        <f>'Current version'!DQ12</f>
        <v>0</v>
      </c>
      <c r="H39" s="17">
        <f t="shared" si="0"/>
        <v>43.696872801328681</v>
      </c>
    </row>
    <row r="40" spans="2:8" ht="13" x14ac:dyDescent="0.3">
      <c r="B40" s="346">
        <v>40695</v>
      </c>
      <c r="C40" s="284">
        <f>'Current version'!DC14</f>
        <v>4.2157037364144417E-2</v>
      </c>
      <c r="D40" s="284">
        <f>(LN('Current version'!BQ14/'Current version'!BQ13))/('Current version'!AZ14-'Current version'!AZ13)</f>
        <v>1.3905222239072373E-2</v>
      </c>
      <c r="E40" s="18">
        <f>'Current version'!DE14</f>
        <v>182.51496160377994</v>
      </c>
      <c r="F40" s="17">
        <f>'Current version'!BA14-'Current version'!BA13</f>
        <v>63.105625473927674</v>
      </c>
      <c r="G40" s="135">
        <f>'Current version'!DQ13</f>
        <v>0</v>
      </c>
      <c r="H40" s="17">
        <f t="shared" si="0"/>
        <v>63.105625473927674</v>
      </c>
    </row>
    <row r="41" spans="2:8" ht="13" x14ac:dyDescent="0.3">
      <c r="B41" s="346">
        <v>40709</v>
      </c>
      <c r="C41" s="284">
        <f>'Current version'!DC15</f>
        <v>3.9423314037695847E-2</v>
      </c>
      <c r="D41" s="284">
        <f>(LN('Current version'!BQ15/'Current version'!BQ14))/('Current version'!AZ15-'Current version'!AZ14)</f>
        <v>1.0471676727991102E-2</v>
      </c>
      <c r="E41" s="18">
        <f>'Current version'!DE15</f>
        <v>272.8774940069419</v>
      </c>
      <c r="F41" s="17">
        <f>'Current version'!BA15-'Current version'!BA14</f>
        <v>90.362532403161964</v>
      </c>
      <c r="G41" s="135">
        <f>'Current version'!DQ14</f>
        <v>0</v>
      </c>
      <c r="H41" s="17">
        <f t="shared" si="0"/>
        <v>90.362532403161964</v>
      </c>
    </row>
    <row r="42" spans="2:8" ht="13" x14ac:dyDescent="0.3">
      <c r="B42" s="346">
        <v>40725</v>
      </c>
      <c r="C42" s="284">
        <f>'Current version'!DC16</f>
        <v>3.7556015607528026E-2</v>
      </c>
      <c r="D42" s="284">
        <f>(LN('Current version'!BQ16/'Current version'!BQ15))/('Current version'!AZ16-'Current version'!AZ15)</f>
        <v>5.4382110618518562E-3</v>
      </c>
      <c r="E42" s="18">
        <f>'Current version'!DE16</f>
        <v>392.06851709489348</v>
      </c>
      <c r="F42" s="17">
        <f>'Current version'!BA16-'Current version'!BA15</f>
        <v>119.19102308795158</v>
      </c>
      <c r="G42" s="135">
        <f>'Current version'!DQ15</f>
        <v>0</v>
      </c>
      <c r="H42" s="17">
        <f t="shared" si="0"/>
        <v>119.19102308795158</v>
      </c>
    </row>
    <row r="43" spans="2:8" ht="13" x14ac:dyDescent="0.3">
      <c r="B43" s="346">
        <v>40739</v>
      </c>
      <c r="C43" s="284">
        <f>'Current version'!DC17</f>
        <v>3.5293569098724553E-2</v>
      </c>
      <c r="D43" s="284">
        <f>(LN('Current version'!BQ17/'Current version'!BQ16))/('Current version'!AZ17-'Current version'!AZ16)</f>
        <v>2.9158567514467998E-3</v>
      </c>
      <c r="E43" s="18">
        <f>'Current version'!DE17</f>
        <v>550.98031382371255</v>
      </c>
      <c r="F43" s="17">
        <f>'Current version'!BA17-'Current version'!BA16</f>
        <v>158.91179672881907</v>
      </c>
      <c r="G43" s="135">
        <f>'Current version'!DQ16</f>
        <v>0</v>
      </c>
      <c r="H43" s="17">
        <f t="shared" si="0"/>
        <v>158.91179672881907</v>
      </c>
    </row>
    <row r="44" spans="2:8" ht="13" x14ac:dyDescent="0.3">
      <c r="B44" s="346">
        <v>40756</v>
      </c>
      <c r="C44" s="284">
        <f>'Current version'!DC18</f>
        <v>3.4306858441736046E-2</v>
      </c>
      <c r="D44" s="284">
        <f>(LN('Current version'!BQ18/'Current version'!BQ17))/('Current version'!AZ18-'Current version'!AZ17)</f>
        <v>0</v>
      </c>
      <c r="E44" s="18">
        <f>'Current version'!DE18</f>
        <v>750.81684600505048</v>
      </c>
      <c r="F44" s="17">
        <f>'Current version'!BA18-'Current version'!BA17</f>
        <v>199.83653218133793</v>
      </c>
      <c r="G44" s="135">
        <f>'Current version'!DQ17</f>
        <v>0</v>
      </c>
      <c r="H44" s="17">
        <f t="shared" si="0"/>
        <v>199.83653218133793</v>
      </c>
    </row>
    <row r="45" spans="2:8" ht="13" x14ac:dyDescent="0.3">
      <c r="B45" s="346">
        <v>40770</v>
      </c>
      <c r="C45" s="284">
        <f>'Current version'!DC19</f>
        <v>3.4398891497080808E-2</v>
      </c>
      <c r="D45" s="284">
        <f>(LN('Current version'!BQ19/'Current version'!BQ18))/('Current version'!AZ19-'Current version'!AZ18)</f>
        <v>-9.1309551078489204E-3</v>
      </c>
      <c r="E45" s="18">
        <f>'Current version'!DE19</f>
        <v>1011.1193692406275</v>
      </c>
      <c r="F45" s="17">
        <f>'Current version'!BA19-'Current version'!BA18</f>
        <v>260.30252323557704</v>
      </c>
      <c r="G45" s="135">
        <f>'Current version'!DQ18</f>
        <v>0</v>
      </c>
      <c r="H45" s="17">
        <f t="shared" si="0"/>
        <v>260.30252323557704</v>
      </c>
    </row>
    <row r="46" spans="2:8" ht="13" x14ac:dyDescent="0.3">
      <c r="B46" s="346">
        <v>40787</v>
      </c>
      <c r="C46" s="284">
        <f>'Current version'!DC20</f>
        <v>3.2726238096280898E-2</v>
      </c>
      <c r="D46" s="284">
        <f>(LN('Current version'!BQ20/'Current version'!BQ19))/('Current version'!AZ20-'Current version'!AZ19)</f>
        <v>-8.6237337759926692E-3</v>
      </c>
      <c r="E46" s="18">
        <f>'Current version'!DE20</f>
        <v>66.376880901445702</v>
      </c>
      <c r="F46" s="17">
        <f>'Current version'!BA20-'Current version'!BA19</f>
        <v>-944.74248833918182</v>
      </c>
      <c r="G46" s="135">
        <f>'Current version'!DQ19</f>
        <v>1261.1607371274686</v>
      </c>
      <c r="H46" s="17">
        <f t="shared" si="0"/>
        <v>316.41824878828675</v>
      </c>
    </row>
    <row r="47" spans="2:8" ht="13" x14ac:dyDescent="0.3">
      <c r="B47" s="346">
        <v>40801</v>
      </c>
      <c r="C47" s="284">
        <f>'Current version'!DC21</f>
        <v>3.5625275880967873E-2</v>
      </c>
      <c r="D47" s="284">
        <f>(LN('Current version'!BQ21/'Current version'!BQ20))/('Current version'!AZ21-'Current version'!AZ20)</f>
        <v>-1.2275018351904235E-2</v>
      </c>
      <c r="E47" s="18">
        <f>'Current version'!DE21</f>
        <v>122.4423356641497</v>
      </c>
      <c r="F47" s="17">
        <f>'Current version'!BA21-'Current version'!BA20</f>
        <v>56.065454762703993</v>
      </c>
      <c r="G47" s="135">
        <f>'Current version'!DQ20</f>
        <v>0</v>
      </c>
      <c r="H47" s="17">
        <f t="shared" si="0"/>
        <v>56.065454762703993</v>
      </c>
    </row>
    <row r="48" spans="2:8" ht="13" x14ac:dyDescent="0.3">
      <c r="B48" s="346">
        <v>40817</v>
      </c>
      <c r="C48" s="284">
        <f>'Current version'!DC22</f>
        <v>2.8965329265222054E-2</v>
      </c>
      <c r="D48" s="284">
        <f>(LN('Current version'!BQ22/'Current version'!BQ21))/('Current version'!AZ22-'Current version'!AZ21)</f>
        <v>-4.0336575710981986E-3</v>
      </c>
      <c r="E48" s="18">
        <f>'Current version'!DE22</f>
        <v>207.08824052125479</v>
      </c>
      <c r="F48" s="17">
        <f>'Current version'!BA22-'Current version'!BA21</f>
        <v>84.645904857105094</v>
      </c>
      <c r="G48" s="135">
        <f>'Current version'!DQ21</f>
        <v>0</v>
      </c>
      <c r="H48" s="17">
        <f t="shared" si="0"/>
        <v>84.645904857105094</v>
      </c>
    </row>
    <row r="49" spans="2:8" ht="13" x14ac:dyDescent="0.3">
      <c r="B49" s="346">
        <v>40831</v>
      </c>
      <c r="C49" s="284">
        <f>'Current version'!DC23</f>
        <v>2.2112452351758748E-2</v>
      </c>
      <c r="D49" s="284">
        <f>(LN('Current version'!BQ23/'Current version'!BQ22))/('Current version'!AZ23-'Current version'!AZ22)</f>
        <v>-1.5938825093872122E-2</v>
      </c>
      <c r="E49" s="18">
        <f>'Current version'!DE23</f>
        <v>270.94396132282179</v>
      </c>
      <c r="F49" s="17">
        <f>'Current version'!BA23-'Current version'!BA22</f>
        <v>63.855720801567003</v>
      </c>
      <c r="G49" s="135">
        <f>'Current version'!DQ22</f>
        <v>0</v>
      </c>
      <c r="H49" s="17">
        <f t="shared" si="0"/>
        <v>63.855720801567003</v>
      </c>
    </row>
    <row r="50" spans="2:8" ht="13" x14ac:dyDescent="0.3">
      <c r="B50" s="346">
        <v>40848</v>
      </c>
      <c r="C50" s="284">
        <f>'Current version'!DC24</f>
        <v>2.0330665294393976E-2</v>
      </c>
      <c r="D50" s="284">
        <f>(LN('Current version'!BQ24/'Current version'!BQ23))/('Current version'!AZ24-'Current version'!AZ23)</f>
        <v>-1.6922474850104757E-2</v>
      </c>
      <c r="E50" s="18">
        <f>'Current version'!DE24</f>
        <v>290.2461156752704</v>
      </c>
      <c r="F50" s="17">
        <f>'Current version'!BA24-'Current version'!BA23</f>
        <v>19.302154352448611</v>
      </c>
      <c r="G50" s="135">
        <f>'Current version'!DQ23</f>
        <v>0</v>
      </c>
      <c r="H50" s="17">
        <f t="shared" si="0"/>
        <v>19.302154352448611</v>
      </c>
    </row>
    <row r="51" spans="2:8" ht="13" x14ac:dyDescent="0.3">
      <c r="B51" s="346">
        <v>40862</v>
      </c>
      <c r="C51" s="284">
        <f>'Current version'!DC25</f>
        <v>1.7963358016801476E-2</v>
      </c>
      <c r="D51" s="284">
        <f>(LN('Current version'!BQ25/'Current version'!BQ24))/('Current version'!AZ25-'Current version'!AZ24)</f>
        <v>-4.0827438457106168E-3</v>
      </c>
      <c r="E51" s="18">
        <f>'Current version'!DE25</f>
        <v>306.09622690069557</v>
      </c>
      <c r="F51" s="17">
        <f>'Current version'!BA25-'Current version'!BA24</f>
        <v>15.850111225425167</v>
      </c>
      <c r="G51" s="135">
        <f>'Current version'!DQ24</f>
        <v>0</v>
      </c>
      <c r="H51" s="17">
        <f t="shared" si="0"/>
        <v>15.850111225425167</v>
      </c>
    </row>
    <row r="52" spans="2:8" ht="13" x14ac:dyDescent="0.3">
      <c r="B52" s="346">
        <v>40878</v>
      </c>
      <c r="C52" s="284">
        <f>'Current version'!DC26</f>
        <v>1.7329095110840853E-2</v>
      </c>
      <c r="D52" s="284">
        <f>(LN('Current version'!BQ26/'Current version'!BQ25))/('Current version'!AZ26-'Current version'!AZ25)</f>
        <v>-1.8658101968550725E-3</v>
      </c>
      <c r="E52" s="18">
        <f>'Current version'!DE26</f>
        <v>342.59860970292323</v>
      </c>
      <c r="F52" s="17">
        <f>'Current version'!BA26-'Current version'!BA25</f>
        <v>36.502382802227658</v>
      </c>
      <c r="G52" s="135">
        <f>'Current version'!DQ25</f>
        <v>0</v>
      </c>
      <c r="H52" s="17">
        <f t="shared" si="0"/>
        <v>36.502382802227658</v>
      </c>
    </row>
    <row r="53" spans="2:8" ht="13" x14ac:dyDescent="0.3">
      <c r="B53" s="346">
        <v>40892</v>
      </c>
      <c r="C53" s="284">
        <f>'Current version'!DC27</f>
        <v>-5.0125418235442863E-3</v>
      </c>
      <c r="D53" s="284">
        <f>(LN('Current version'!BQ27/'Current version'!BQ26))/('Current version'!AZ27-'Current version'!AZ26)</f>
        <v>-2.197975619053833E-3</v>
      </c>
      <c r="E53" s="18">
        <f>'Current version'!DE27</f>
        <v>385.9380875438485</v>
      </c>
      <c r="F53" s="17">
        <f>'Current version'!BA27-'Current version'!BA26</f>
        <v>43.339477840925269</v>
      </c>
      <c r="G53" s="135">
        <f>'Current version'!DQ26</f>
        <v>0</v>
      </c>
      <c r="H53" s="17">
        <f t="shared" si="0"/>
        <v>43.339477840925269</v>
      </c>
    </row>
    <row r="54" spans="2:8" ht="13" x14ac:dyDescent="0.3">
      <c r="B54" s="346">
        <v>40908</v>
      </c>
      <c r="C54" s="284">
        <f>'Current version'!DC28</f>
        <v>1.81697769509786E-2</v>
      </c>
      <c r="D54" s="284">
        <f>(LN('Current version'!BQ28/'Current version'!BQ27))/('Current version'!AZ28-'Current version'!AZ27)</f>
        <v>0</v>
      </c>
      <c r="E54" s="18">
        <f>'Current version'!DE28</f>
        <v>345.91708166419932</v>
      </c>
      <c r="F54" s="17">
        <f>'Current version'!BA28-'Current version'!BA27</f>
        <v>-40.021005879649181</v>
      </c>
      <c r="G54" s="135">
        <f>'Current version'!DQ27</f>
        <v>0</v>
      </c>
      <c r="H54" s="17">
        <f t="shared" si="0"/>
        <v>-40.021005879649181</v>
      </c>
    </row>
  </sheetData>
  <sheetProtection password="CF27" sheet="1" objects="1" scenarios="1"/>
  <mergeCells count="1">
    <mergeCell ref="K23:R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2"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customSheetViews>
    <customSheetView guid="{C5ECCA7E-81F6-46F5-BEA0-A5F2DAD22AC9}" topLeftCell="A12">
      <selection activeCell="L37" sqref="L37"/>
      <pageMargins left="0.7" right="0.7" top="0.75" bottom="0.75" header="0.3" footer="0.3"/>
      <pageSetup orientation="portrait" horizontalDpi="0" verticalDpi="0" r:id="rId1"/>
    </customSheetView>
    <customSheetView guid="{40D14490-07BB-46F3-8435-9C462BE853EE}" topLeftCell="A12">
      <selection activeCell="L37" sqref="L37"/>
      <pageMargins left="0.7" right="0.7" top="0.75" bottom="0.75" header="0.3" footer="0.3"/>
      <pageSetup orientation="portrait" horizontalDpi="0" verticalDpi="0" r:id="rId2"/>
    </customSheetView>
  </customSheetViews>
  <pageMargins left="0.7" right="0.7" top="0.75" bottom="0.75" header="0.3" footer="0.3"/>
  <pageSetup orientation="portrait" horizontalDpi="0"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topLeftCell="A10" zoomScale="90" zoomScaleNormal="90" workbookViewId="0">
      <selection activeCell="E24" sqref="E24:E25"/>
    </sheetView>
  </sheetViews>
  <sheetFormatPr defaultRowHeight="12.5" x14ac:dyDescent="0.25"/>
  <cols>
    <col min="1" max="1" width="16.81640625" customWidth="1"/>
    <col min="5" max="5" width="10.81640625" customWidth="1"/>
    <col min="6" max="6" width="16.54296875" customWidth="1"/>
    <col min="10" max="10" width="10.81640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607" t="s">
        <v>174</v>
      </c>
      <c r="B11" s="607"/>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5">
      <c r="A12" s="607"/>
      <c r="B12" s="607"/>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607"/>
      <c r="B13" s="607"/>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607"/>
      <c r="B14" s="607"/>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607"/>
      <c r="B15" s="60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607"/>
      <c r="B16" s="607"/>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603" t="s">
        <v>172</v>
      </c>
      <c r="F31" s="608"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604"/>
      <c r="F32" s="608"/>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604"/>
      <c r="F33" s="608"/>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604"/>
      <c r="F34" s="608"/>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604"/>
      <c r="F35" s="608"/>
      <c r="G35" s="127"/>
      <c r="H35" s="127"/>
      <c r="I35" s="127"/>
      <c r="J35" s="605"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604"/>
      <c r="F36" s="608"/>
      <c r="G36" s="127"/>
      <c r="H36" s="127"/>
      <c r="I36" s="127"/>
      <c r="J36" s="606"/>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604"/>
      <c r="F37" s="608"/>
      <c r="G37" s="127"/>
      <c r="H37" s="127"/>
      <c r="I37" s="127"/>
      <c r="J37" s="606"/>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606"/>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606"/>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606"/>
      <c r="K40" s="127"/>
      <c r="L40" s="127"/>
      <c r="M40" s="127"/>
      <c r="N40" s="127"/>
      <c r="O40" s="127"/>
      <c r="P40" s="127"/>
      <c r="Q40" s="127"/>
      <c r="R40" s="127"/>
      <c r="S40" s="127"/>
      <c r="T40" s="127"/>
      <c r="U40" s="127"/>
      <c r="V40" s="127"/>
      <c r="W40" s="127"/>
      <c r="X40" s="127"/>
      <c r="Y40" s="127"/>
      <c r="Z40" s="127"/>
      <c r="AA40" s="127"/>
    </row>
    <row r="41" spans="1:27" ht="13" x14ac:dyDescent="0.3">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1">
        <v>5.0000000000000001E-3</v>
      </c>
      <c r="F44" s="601" t="s">
        <v>193</v>
      </c>
      <c r="G44" s="602"/>
      <c r="H44" s="602"/>
      <c r="I44" s="602"/>
      <c r="J44" s="602"/>
      <c r="K44" s="602"/>
      <c r="L44" s="602"/>
      <c r="M44" s="602"/>
      <c r="N44" s="127"/>
      <c r="O44" s="127"/>
      <c r="P44" s="127"/>
      <c r="Q44" s="127"/>
      <c r="R44" s="127"/>
      <c r="S44" s="127"/>
      <c r="T44" s="127"/>
      <c r="U44" s="127"/>
      <c r="V44" s="127"/>
      <c r="W44" s="127"/>
      <c r="X44" s="127"/>
      <c r="Y44" s="127"/>
      <c r="Z44" s="127"/>
      <c r="AA44" s="127"/>
    </row>
    <row r="45" spans="1:27" x14ac:dyDescent="0.25">
      <c r="A45" s="127"/>
      <c r="B45" s="609" t="s">
        <v>318</v>
      </c>
      <c r="C45" s="609"/>
      <c r="D45" s="127"/>
      <c r="E45" s="127"/>
      <c r="F45" s="600" t="s">
        <v>192</v>
      </c>
      <c r="G45" s="600"/>
      <c r="H45" s="600"/>
      <c r="I45" s="600"/>
      <c r="J45" s="600"/>
      <c r="K45" s="600"/>
      <c r="L45" s="127"/>
      <c r="M45" s="127"/>
      <c r="N45" s="127"/>
      <c r="O45" s="127"/>
      <c r="P45" s="127"/>
      <c r="Q45" s="127"/>
      <c r="R45" s="127"/>
      <c r="S45" s="127"/>
      <c r="T45" s="127"/>
      <c r="U45" s="127"/>
      <c r="V45" s="127"/>
      <c r="W45" s="127"/>
      <c r="X45" s="127"/>
      <c r="Y45" s="127"/>
      <c r="Z45" s="127"/>
      <c r="AA45" s="127"/>
    </row>
    <row r="46" spans="1:27" x14ac:dyDescent="0.25">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5">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5">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5">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5">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5">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5">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5">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5">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5">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5">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5">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5">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5">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5">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5">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5">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5">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5">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5">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5">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5">
      <c r="O79" s="127"/>
      <c r="P79" s="224"/>
    </row>
    <row r="80" spans="1:27" x14ac:dyDescent="0.25">
      <c r="O80" s="127"/>
      <c r="P80" s="224"/>
    </row>
    <row r="81" spans="15:16" x14ac:dyDescent="0.25">
      <c r="O81" s="127"/>
      <c r="P81" s="224"/>
    </row>
    <row r="82" spans="15:16" x14ac:dyDescent="0.25">
      <c r="O82" s="127"/>
      <c r="P82" s="224"/>
    </row>
    <row r="83" spans="15:16" x14ac:dyDescent="0.25">
      <c r="O83" s="127"/>
      <c r="P83" s="224"/>
    </row>
    <row r="84" spans="15:16" x14ac:dyDescent="0.25">
      <c r="O84" s="127"/>
      <c r="P84" s="224"/>
    </row>
    <row r="85" spans="15:16" x14ac:dyDescent="0.25">
      <c r="O85" s="127"/>
      <c r="P85" s="224"/>
    </row>
    <row r="86" spans="15:16" x14ac:dyDescent="0.25">
      <c r="O86" s="127"/>
      <c r="P86" s="224"/>
    </row>
    <row r="87" spans="15:16" x14ac:dyDescent="0.25">
      <c r="O87" s="127"/>
      <c r="P87" s="224"/>
    </row>
    <row r="88" spans="15:16" x14ac:dyDescent="0.25">
      <c r="O88" s="127"/>
      <c r="P88" s="224"/>
    </row>
    <row r="89" spans="15:16" x14ac:dyDescent="0.25">
      <c r="O89" s="127"/>
      <c r="P89" s="224"/>
    </row>
    <row r="90" spans="15:16" x14ac:dyDescent="0.25">
      <c r="O90" s="127"/>
      <c r="P90" s="224"/>
    </row>
    <row r="91" spans="15:16" x14ac:dyDescent="0.25">
      <c r="O91" s="127"/>
      <c r="P91" s="224"/>
    </row>
    <row r="92" spans="15:16" x14ac:dyDescent="0.25">
      <c r="O92" s="127"/>
      <c r="P92" s="224"/>
    </row>
    <row r="93" spans="15:16" x14ac:dyDescent="0.25">
      <c r="O93" s="127"/>
      <c r="P93" s="224"/>
    </row>
    <row r="94" spans="15:16" x14ac:dyDescent="0.25">
      <c r="O94" s="127"/>
      <c r="P94" s="224"/>
    </row>
    <row r="95" spans="15:16" x14ac:dyDescent="0.25">
      <c r="O95" s="127"/>
      <c r="P95" s="224"/>
    </row>
    <row r="96" spans="15:16" x14ac:dyDescent="0.25">
      <c r="O96" s="127"/>
      <c r="P96" s="224"/>
    </row>
    <row r="97" spans="15:16" x14ac:dyDescent="0.25">
      <c r="O97" s="127"/>
      <c r="P97" s="224"/>
    </row>
    <row r="98" spans="15:16" x14ac:dyDescent="0.25">
      <c r="O98" s="127"/>
      <c r="P98" s="224"/>
    </row>
    <row r="99" spans="15:16" x14ac:dyDescent="0.25">
      <c r="O99" s="127"/>
      <c r="P99" s="224"/>
    </row>
    <row r="100" spans="15:16" x14ac:dyDescent="0.25">
      <c r="O100" s="127"/>
      <c r="P100" s="224"/>
    </row>
    <row r="101" spans="15:16" x14ac:dyDescent="0.25">
      <c r="O101" s="127"/>
      <c r="P101" s="224"/>
    </row>
    <row r="102" spans="15:16" x14ac:dyDescent="0.25">
      <c r="O102" s="127"/>
      <c r="P102" s="224"/>
    </row>
    <row r="103" spans="15:16" x14ac:dyDescent="0.25">
      <c r="O103" s="127"/>
      <c r="P103" s="224"/>
    </row>
    <row r="104" spans="15:16" x14ac:dyDescent="0.25">
      <c r="O104" s="127"/>
      <c r="P104" s="224"/>
    </row>
    <row r="105" spans="15:16" x14ac:dyDescent="0.25">
      <c r="O105" s="127"/>
      <c r="P105" s="224"/>
    </row>
    <row r="106" spans="15:16" x14ac:dyDescent="0.25">
      <c r="O106" s="127"/>
      <c r="P106" s="224"/>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customSheetViews>
    <customSheetView guid="{C5ECCA7E-81F6-46F5-BEA0-A5F2DAD22AC9}" scale="90" topLeftCell="A9">
      <selection activeCell="AO25" sqref="AO25"/>
      <pageMargins left="0.7" right="0.7" top="0.75" bottom="0.75" header="0.3" footer="0.3"/>
      <pageSetup orientation="portrait" r:id="rId1"/>
    </customSheetView>
    <customSheetView guid="{40D14490-07BB-46F3-8435-9C462BE853EE}" scale="90" topLeftCell="A9">
      <selection activeCell="AO25" sqref="AO25"/>
      <pageMargins left="0.7" right="0.7" top="0.75" bottom="0.75" header="0.3" footer="0.3"/>
      <pageSetup orientation="portrait" r:id="rId2"/>
    </customSheetView>
  </customSheetViews>
  <mergeCells count="7">
    <mergeCell ref="F45:K45"/>
    <mergeCell ref="F44:M44"/>
    <mergeCell ref="E31:E37"/>
    <mergeCell ref="J35:J40"/>
    <mergeCell ref="A11:B16"/>
    <mergeCell ref="F31:F37"/>
    <mergeCell ref="B45:C45"/>
  </mergeCell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customSheetViews>
    <customSheetView guid="{C5ECCA7E-81F6-46F5-BEA0-A5F2DAD22AC9}">
      <selection activeCell="R11" sqref="R11"/>
      <pageMargins left="0.7" right="0.7" top="0.75" bottom="0.75" header="0.3" footer="0.3"/>
    </customSheetView>
    <customSheetView guid="{40D14490-07BB-46F3-8435-9C462BE853EE}">
      <selection activeCell="R11" sqref="R11"/>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topLeftCell="A26" zoomScale="85" zoomScaleNormal="85" workbookViewId="0">
      <selection activeCell="E51" sqref="E51"/>
    </sheetView>
  </sheetViews>
  <sheetFormatPr defaultRowHeight="12.5" x14ac:dyDescent="0.25"/>
  <sheetData>
    <row r="1" spans="1:2" x14ac:dyDescent="0.25">
      <c r="A1" s="284"/>
      <c r="B1" t="s">
        <v>323</v>
      </c>
    </row>
    <row r="23" spans="2:18" ht="12.75" customHeight="1" x14ac:dyDescent="0.25">
      <c r="K23" s="496" t="s">
        <v>324</v>
      </c>
      <c r="L23" s="496"/>
      <c r="M23" s="496"/>
      <c r="N23" s="496"/>
      <c r="O23" s="496"/>
      <c r="P23" s="496"/>
      <c r="Q23" s="496"/>
      <c r="R23" s="496"/>
    </row>
    <row r="24" spans="2:18" x14ac:dyDescent="0.25">
      <c r="K24" s="496"/>
      <c r="L24" s="496"/>
      <c r="M24" s="496"/>
      <c r="N24" s="496"/>
      <c r="O24" s="496"/>
      <c r="P24" s="496"/>
      <c r="Q24" s="496"/>
      <c r="R24" s="496"/>
    </row>
    <row r="25" spans="2:18" x14ac:dyDescent="0.25">
      <c r="K25" s="496"/>
      <c r="L25" s="496"/>
      <c r="M25" s="496"/>
      <c r="N25" s="496"/>
      <c r="O25" s="496"/>
      <c r="P25" s="496"/>
      <c r="Q25" s="496"/>
      <c r="R25" s="496"/>
    </row>
    <row r="26" spans="2:18" x14ac:dyDescent="0.25">
      <c r="K26" s="496"/>
      <c r="L26" s="496"/>
      <c r="M26" s="496"/>
      <c r="N26" s="496"/>
      <c r="O26" s="496"/>
      <c r="P26" s="496"/>
      <c r="Q26" s="496"/>
      <c r="R26" s="496"/>
    </row>
    <row r="27" spans="2:18" x14ac:dyDescent="0.25">
      <c r="K27" s="496"/>
      <c r="L27" s="496"/>
      <c r="M27" s="496"/>
      <c r="N27" s="496"/>
      <c r="O27" s="496"/>
      <c r="P27" s="496"/>
      <c r="Q27" s="496"/>
      <c r="R27" s="496"/>
    </row>
    <row r="28" spans="2:18" x14ac:dyDescent="0.25">
      <c r="K28" s="496"/>
      <c r="L28" s="496"/>
      <c r="M28" s="496"/>
      <c r="N28" s="496"/>
      <c r="O28" s="496"/>
      <c r="P28" s="496"/>
      <c r="Q28" s="496"/>
      <c r="R28" s="496"/>
    </row>
    <row r="29" spans="2:18" ht="37.5" x14ac:dyDescent="0.25">
      <c r="B29" s="346"/>
      <c r="C29" s="347" t="s">
        <v>321</v>
      </c>
      <c r="D29" s="347" t="s">
        <v>322</v>
      </c>
      <c r="K29" s="496"/>
      <c r="L29" s="496"/>
      <c r="M29" s="496"/>
      <c r="N29" s="496"/>
      <c r="O29" s="496"/>
      <c r="P29" s="496"/>
      <c r="Q29" s="496"/>
      <c r="R29" s="496"/>
    </row>
    <row r="30" spans="2:18" x14ac:dyDescent="0.25">
      <c r="B30" s="346">
        <v>40544</v>
      </c>
      <c r="C30" s="284"/>
      <c r="D30" s="284"/>
    </row>
    <row r="31" spans="2:18" x14ac:dyDescent="0.25">
      <c r="B31" s="346">
        <v>40558</v>
      </c>
      <c r="C31">
        <f>IF('Current version'!BA5="","NA",'Current version'!BA5/'Current version'!BA4)-1</f>
        <v>-7.3399166893701517E-2</v>
      </c>
      <c r="D31" s="284">
        <f>('Current version'!BQ5/'Current version'!BQ4)-1</f>
        <v>0</v>
      </c>
    </row>
    <row r="32" spans="2:18" x14ac:dyDescent="0.25">
      <c r="B32" s="346">
        <v>40575</v>
      </c>
      <c r="C32">
        <f>IF('Current version'!BA6="","NA",'Current version'!BA6/'Current version'!BA5)-1</f>
        <v>8.2678537267374175E-2</v>
      </c>
      <c r="D32" s="284">
        <f>('Current version'!BQ6/'Current version'!BQ5)-1</f>
        <v>0</v>
      </c>
    </row>
    <row r="33" spans="2:4" x14ac:dyDescent="0.25">
      <c r="B33" s="346">
        <v>40589</v>
      </c>
      <c r="C33">
        <f>IF('Current version'!BA7="","NA",'Current version'!BA7/'Current version'!BA6)-1</f>
        <v>0.24022442086289875</v>
      </c>
      <c r="D33" s="284">
        <f>('Current version'!BQ7/'Current version'!BQ6)-1</f>
        <v>-0.125</v>
      </c>
    </row>
    <row r="34" spans="2:4" x14ac:dyDescent="0.25">
      <c r="B34" s="346">
        <v>40603</v>
      </c>
      <c r="C34">
        <f>IF('Current version'!BA8="","NA",'Current version'!BA8/'Current version'!BA7)-1</f>
        <v>0.27531034860799775</v>
      </c>
      <c r="D34" s="284">
        <f>('Current version'!BQ8/'Current version'!BQ7)-1</f>
        <v>0</v>
      </c>
    </row>
    <row r="35" spans="2:4" x14ac:dyDescent="0.25">
      <c r="B35" s="346">
        <v>40617</v>
      </c>
      <c r="C35">
        <f>IF('Current version'!BA9="","NA",'Current version'!BA9/'Current version'!BA8)-1</f>
        <v>0.32741472828231521</v>
      </c>
      <c r="D35" s="284">
        <f>('Current version'!BQ9/'Current version'!BQ8)-1</f>
        <v>-0.1428571428571429</v>
      </c>
    </row>
    <row r="36" spans="2:4" x14ac:dyDescent="0.25">
      <c r="B36" s="346">
        <v>40634</v>
      </c>
      <c r="C36">
        <f>IF('Current version'!BA10="","NA",'Current version'!BA10/'Current version'!BA9)-1</f>
        <v>0.42573398958208419</v>
      </c>
      <c r="D36" s="284">
        <f>('Current version'!BQ10/'Current version'!BQ9)-1</f>
        <v>0</v>
      </c>
    </row>
    <row r="37" spans="2:4" x14ac:dyDescent="0.25">
      <c r="B37" s="346">
        <v>40648</v>
      </c>
      <c r="C37">
        <f>IF('Current version'!BA11="","NA",'Current version'!BA11/'Current version'!BA10)-1</f>
        <v>-0.841730427410049</v>
      </c>
      <c r="D37" s="284">
        <f>('Current version'!BQ11/'Current version'!BQ10)-1</f>
        <v>0.33333333333333326</v>
      </c>
    </row>
    <row r="38" spans="2:4" x14ac:dyDescent="0.25">
      <c r="B38" s="346">
        <v>40664</v>
      </c>
      <c r="C38">
        <f>IF('Current version'!BA12="","NA",'Current version'!BA12/'Current version'!BA11)-1</f>
        <v>0.59300241825215649</v>
      </c>
      <c r="D38" s="284">
        <f>('Current version'!BQ12/'Current version'!BQ11)-1</f>
        <v>0.375</v>
      </c>
    </row>
    <row r="39" spans="2:4" x14ac:dyDescent="0.25">
      <c r="B39" s="346">
        <v>40678</v>
      </c>
      <c r="C39">
        <f>IF('Current version'!BA13="","NA",'Current version'!BA13/'Current version'!BA12)-1</f>
        <v>0.57714240007914941</v>
      </c>
      <c r="D39" s="284">
        <f>('Current version'!BQ13/'Current version'!BQ12)-1</f>
        <v>0.36363636363636354</v>
      </c>
    </row>
    <row r="40" spans="2:4" x14ac:dyDescent="0.25">
      <c r="B40" s="346">
        <v>40695</v>
      </c>
      <c r="C40">
        <f>IF('Current version'!BA14="","NA",'Current version'!BA14/'Current version'!BA13)-1</f>
        <v>0.52848150336673139</v>
      </c>
      <c r="D40" s="284">
        <f>('Current version'!BQ14/'Current version'!BQ13)-1</f>
        <v>0.26666666666666661</v>
      </c>
    </row>
    <row r="41" spans="2:4" x14ac:dyDescent="0.25">
      <c r="B41" s="346">
        <v>40709</v>
      </c>
      <c r="C41">
        <f>IF('Current version'!BA15="","NA",'Current version'!BA15/'Current version'!BA14)-1</f>
        <v>0.4950965751472427</v>
      </c>
      <c r="D41" s="284">
        <f>('Current version'!BQ15/'Current version'!BQ14)-1</f>
        <v>0.15789473684210531</v>
      </c>
    </row>
    <row r="42" spans="2:4" x14ac:dyDescent="0.25">
      <c r="B42" s="346">
        <v>40725</v>
      </c>
      <c r="C42">
        <f>IF('Current version'!BA16="","NA",'Current version'!BA16/'Current version'!BA15)-1</f>
        <v>0.43679316068814167</v>
      </c>
      <c r="D42" s="284">
        <f>('Current version'!BQ16/'Current version'!BQ15)-1</f>
        <v>9.0909090909090828E-2</v>
      </c>
    </row>
    <row r="43" spans="2:4" x14ac:dyDescent="0.25">
      <c r="B43" s="346">
        <v>40739</v>
      </c>
      <c r="C43">
        <f>IF('Current version'!BA17="","NA",'Current version'!BA17/'Current version'!BA16)-1</f>
        <v>0.40531639190595148</v>
      </c>
      <c r="D43" s="284">
        <f>('Current version'!BQ17/'Current version'!BQ16)-1</f>
        <v>4.1666666666666741E-2</v>
      </c>
    </row>
    <row r="44" spans="2:4" x14ac:dyDescent="0.25">
      <c r="B44" s="346">
        <v>40756</v>
      </c>
      <c r="C44">
        <f>IF('Current version'!BA18="","NA",'Current version'!BA18/'Current version'!BA17)-1</f>
        <v>0.36269269004278093</v>
      </c>
      <c r="D44" s="284">
        <f>('Current version'!BQ18/'Current version'!BQ17)-1</f>
        <v>0</v>
      </c>
    </row>
    <row r="45" spans="2:4" x14ac:dyDescent="0.25">
      <c r="B45" s="346">
        <v>40770</v>
      </c>
      <c r="C45">
        <f>IF('Current version'!BA19="","NA",'Current version'!BA19/'Current version'!BA18)-1</f>
        <v>0.34669243853623666</v>
      </c>
      <c r="D45" s="284">
        <f>('Current version'!BQ19/'Current version'!BQ18)-1</f>
        <v>-0.12</v>
      </c>
    </row>
    <row r="46" spans="2:4" x14ac:dyDescent="0.25">
      <c r="B46" s="346">
        <v>40787</v>
      </c>
      <c r="C46">
        <f>IF('Current version'!BA20="","NA",'Current version'!BA20/'Current version'!BA19)-1</f>
        <v>-0.93435307153566227</v>
      </c>
      <c r="D46" s="284">
        <f>('Current version'!BQ20/'Current version'!BQ19)-1</f>
        <v>-0.13636363636363635</v>
      </c>
    </row>
    <row r="47" spans="2:4" x14ac:dyDescent="0.25">
      <c r="B47" s="346">
        <v>40801</v>
      </c>
      <c r="C47">
        <f>IF('Current version'!BA21="","NA",'Current version'!BA21/'Current version'!BA20)-1</f>
        <v>0.84465334919771551</v>
      </c>
      <c r="D47" s="284">
        <f>('Current version'!BQ21/'Current version'!BQ20)-1</f>
        <v>-0.15789473684210531</v>
      </c>
    </row>
    <row r="48" spans="2:4" x14ac:dyDescent="0.25">
      <c r="B48" s="346">
        <v>40817</v>
      </c>
      <c r="C48">
        <f>IF('Current version'!BA22="","NA",'Current version'!BA22/'Current version'!BA21)-1</f>
        <v>0.69131239940801659</v>
      </c>
      <c r="D48" s="284">
        <f>('Current version'!BQ22/'Current version'!BQ21)-1</f>
        <v>-6.25E-2</v>
      </c>
    </row>
    <row r="49" spans="2:4" x14ac:dyDescent="0.25">
      <c r="B49" s="346">
        <v>40831</v>
      </c>
      <c r="C49">
        <f>IF('Current version'!BA23="","NA",'Current version'!BA23/'Current version'!BA22)-1</f>
        <v>0.30835029860139773</v>
      </c>
      <c r="D49" s="284">
        <f>('Current version'!BQ23/'Current version'!BQ22)-1</f>
        <v>-0.19999999999999996</v>
      </c>
    </row>
    <row r="50" spans="2:4" x14ac:dyDescent="0.25">
      <c r="B50" s="346">
        <v>40848</v>
      </c>
      <c r="C50">
        <f>IF('Current version'!BA24="","NA",'Current version'!BA24/'Current version'!BA23)-1</f>
        <v>7.1240393246670974E-2</v>
      </c>
      <c r="D50" s="284">
        <f>('Current version'!BQ24/'Current version'!BQ23)-1</f>
        <v>-0.25</v>
      </c>
    </row>
    <row r="51" spans="2:4" x14ac:dyDescent="0.25">
      <c r="B51" s="346">
        <v>40862</v>
      </c>
      <c r="C51">
        <f>IF('Current version'!BA25="","NA",'Current version'!BA25/'Current version'!BA24)-1</f>
        <v>5.4609210492099658E-2</v>
      </c>
      <c r="D51" s="284">
        <f>('Current version'!BQ25/'Current version'!BQ24)-1</f>
        <v>-5.555555555555558E-2</v>
      </c>
    </row>
    <row r="52" spans="2:4" x14ac:dyDescent="0.25">
      <c r="B52" s="346">
        <v>40878</v>
      </c>
      <c r="C52">
        <f>IF('Current version'!BA26="","NA",'Current version'!BA26/'Current version'!BA25)-1</f>
        <v>0.11925133207888194</v>
      </c>
      <c r="D52" s="284">
        <f>('Current version'!BQ26/'Current version'!BQ25)-1</f>
        <v>-2.9411764705882359E-2</v>
      </c>
    </row>
    <row r="53" spans="2:4" x14ac:dyDescent="0.25">
      <c r="B53" s="346">
        <v>40892</v>
      </c>
      <c r="C53">
        <f>IF('Current version'!BA27="","NA",'Current version'!BA27/'Current version'!BA26)-1</f>
        <v>0.12650219998997114</v>
      </c>
      <c r="D53" s="284">
        <f>('Current version'!BQ27/'Current version'!BQ26)-1</f>
        <v>-3.0303030303030276E-2</v>
      </c>
    </row>
    <row r="54" spans="2:4" x14ac:dyDescent="0.25">
      <c r="B54" s="346">
        <v>40908</v>
      </c>
      <c r="C54">
        <f>IF('Current version'!BA28="","NA",'Current version'!BA28/'Current version'!BA27)-1</f>
        <v>-0.10369799501870147</v>
      </c>
      <c r="D54" s="284">
        <f>('Current version'!BQ28/'Current version'!BQ27)-1</f>
        <v>0</v>
      </c>
    </row>
  </sheetData>
  <sheetProtection password="CF27" sheet="1" objects="1" scenarios="1"/>
  <customSheetViews>
    <customSheetView guid="{C5ECCA7E-81F6-46F5-BEA0-A5F2DAD22AC9}" scale="85">
      <selection activeCell="R32" sqref="R32"/>
      <pageMargins left="0.7" right="0.7" top="0.75" bottom="0.75" header="0.3" footer="0.3"/>
    </customSheetView>
    <customSheetView guid="{40D14490-07BB-46F3-8435-9C462BE853EE}" scale="85">
      <selection activeCell="R32" sqref="R32"/>
      <pageMargins left="0.7" right="0.7" top="0.75" bottom="0.75" header="0.3" footer="0.3"/>
    </customSheetView>
  </customSheetViews>
  <mergeCells count="1">
    <mergeCell ref="K23:R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5" x14ac:dyDescent="0.25"/>
  <sheetData>
    <row r="3" spans="2:8" x14ac:dyDescent="0.25">
      <c r="B3" s="423" t="s">
        <v>170</v>
      </c>
      <c r="C3" s="423" t="s">
        <v>168</v>
      </c>
      <c r="D3" s="223" t="s">
        <v>362</v>
      </c>
      <c r="E3" t="s">
        <v>363</v>
      </c>
      <c r="F3" t="s">
        <v>364</v>
      </c>
      <c r="G3" t="s">
        <v>365</v>
      </c>
      <c r="H3" t="s">
        <v>366</v>
      </c>
    </row>
    <row r="4" spans="2:8" ht="13" x14ac:dyDescent="0.3">
      <c r="B4" s="127">
        <v>0</v>
      </c>
      <c r="C4" s="127"/>
      <c r="D4" s="426">
        <v>10</v>
      </c>
      <c r="E4" s="139">
        <v>25</v>
      </c>
      <c r="F4" s="139">
        <v>50</v>
      </c>
      <c r="G4" s="139">
        <v>100</v>
      </c>
      <c r="H4" s="139">
        <v>150</v>
      </c>
    </row>
    <row r="5" spans="2:8" ht="13" x14ac:dyDescent="0.3">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ht="13" x14ac:dyDescent="0.3">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ht="13" x14ac:dyDescent="0.3">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ht="13" x14ac:dyDescent="0.3">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ht="13" x14ac:dyDescent="0.3">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ht="13" x14ac:dyDescent="0.3">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ht="13" x14ac:dyDescent="0.3">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ht="13" x14ac:dyDescent="0.3">
      <c r="B12" s="127"/>
      <c r="C12" s="225"/>
      <c r="D12" s="226"/>
      <c r="E12" s="226"/>
      <c r="F12" s="226"/>
      <c r="G12" s="226"/>
      <c r="H12" s="226"/>
    </row>
    <row r="13" spans="2:8" ht="13" x14ac:dyDescent="0.3">
      <c r="B13" s="127"/>
      <c r="C13" s="225"/>
      <c r="D13" s="226"/>
      <c r="E13" s="226"/>
      <c r="F13" s="226"/>
      <c r="G13" s="226"/>
      <c r="H13" s="226"/>
    </row>
    <row r="14" spans="2:8" ht="13" x14ac:dyDescent="0.3">
      <c r="B14" s="127"/>
      <c r="C14" s="225"/>
      <c r="D14" s="226"/>
      <c r="E14" s="226"/>
      <c r="F14" s="226"/>
      <c r="G14" s="226"/>
      <c r="H14" s="226"/>
    </row>
    <row r="15" spans="2:8" ht="13" x14ac:dyDescent="0.3">
      <c r="B15" s="127"/>
      <c r="C15" s="225"/>
      <c r="D15" s="226"/>
      <c r="E15" s="226"/>
      <c r="F15" s="226"/>
      <c r="G15" s="226"/>
      <c r="H15" s="226"/>
    </row>
    <row r="16" spans="2:8" ht="13" x14ac:dyDescent="0.3">
      <c r="B16" s="127"/>
      <c r="C16" s="225"/>
      <c r="D16" s="226"/>
      <c r="E16" s="226"/>
      <c r="F16" s="226"/>
      <c r="G16" s="226"/>
      <c r="H16" s="226"/>
    </row>
  </sheetData>
  <sheetProtection password="CF27" sheet="1" objects="1" scenarios="1"/>
  <customSheetViews>
    <customSheetView guid="{C5ECCA7E-81F6-46F5-BEA0-A5F2DAD22AC9}" topLeftCell="A11">
      <selection activeCell="M33" sqref="M33"/>
      <pageMargins left="0.7" right="0.7" top="0.75" bottom="0.75" header="0.3" footer="0.3"/>
    </customSheetView>
    <customSheetView guid="{40D14490-07BB-46F3-8435-9C462BE853EE}" topLeftCell="A11">
      <selection activeCell="M33" sqref="M33"/>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Current version</vt:lpstr>
      <vt:lpstr>Colony Type</vt:lpstr>
      <vt:lpstr>Mite Immigration</vt:lpstr>
      <vt:lpstr>r values </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2022-12-13T05:44:21Z</dcterms:modified>
</cp:coreProperties>
</file>